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成本分析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<sst xmlns="http://schemas.openxmlformats.org/spreadsheetml/2006/main" count="705" uniqueCount="403">
  <si>
    <t>南昌市豫章学校新建工程装修装饰及室外工程</t>
  </si>
  <si>
    <t>序号</t>
  </si>
  <si>
    <t>项目名称</t>
  </si>
  <si>
    <t>项目特征描述</t>
  </si>
  <si>
    <t>单位</t>
  </si>
  <si>
    <t>楼号工程量</t>
  </si>
  <si>
    <t>人工</t>
  </si>
  <si>
    <t>材料</t>
  </si>
  <si>
    <t>机械</t>
  </si>
  <si>
    <t>单价（元）</t>
  </si>
  <si>
    <t>合价（元）</t>
  </si>
  <si>
    <t>1#</t>
  </si>
  <si>
    <t>2#</t>
  </si>
  <si>
    <t>3#</t>
  </si>
  <si>
    <t>4#</t>
  </si>
  <si>
    <t>5#</t>
  </si>
  <si>
    <t>6#</t>
  </si>
  <si>
    <t>7#</t>
  </si>
  <si>
    <t>8#</t>
  </si>
  <si>
    <t>地下室</t>
  </si>
  <si>
    <t>室外</t>
  </si>
  <si>
    <t>小计</t>
  </si>
  <si>
    <t>一</t>
  </si>
  <si>
    <t>装修装饰工程</t>
  </si>
  <si>
    <t>上人平屋面</t>
  </si>
  <si>
    <t>1)8~10厚地砖铺平拍实,缝宽5~8,1∶1水泥砂浆填缝
2)25厚1:3干硬性水泥砂浆</t>
  </si>
  <si>
    <t>m2</t>
  </si>
  <si>
    <t>防滑地砖</t>
  </si>
  <si>
    <t>1)600*600浅灰色防滑地砖
注:地砖防滑等级为Bw级(防滑值:60≤BPN&lt;80)
2)20/30厚1:3干硬性水泥砂浆面撒素水泥</t>
  </si>
  <si>
    <t>1)600*600米色防滑地砖
注:门厅、公共走道、电梯厅等公共区域地砖防滑等级为Bd级(静摩擦系数:0.60≤COF&lt;0.70)
2)30厚1:3水泥砂浆结合层</t>
  </si>
  <si>
    <t>防滑地砖D1 泳池岸上/公共楼梯间</t>
  </si>
  <si>
    <t xml:space="preserve">1)300*300蓝色防滑地砖
2)20厚1:3干硬性水泥砂浆面撒素水泥
</t>
  </si>
  <si>
    <t>块料楼地面 泳池底</t>
  </si>
  <si>
    <t xml:space="preserve">1、100*100MM蓝色防滑地砖；
2）4厚强力胶粉泥粘结层，揉挤压实
3）7厚纤维砂浆
</t>
  </si>
  <si>
    <t>溢流水槽组合式格栅板</t>
  </si>
  <si>
    <t>溢流水槽组合式格栅板
参国标10S60588</t>
  </si>
  <si>
    <t>防滑地砖D2 公共楼梯间</t>
  </si>
  <si>
    <t xml:space="preserve">楼地面面层
1)300*300防滑盲道地砖
注:楼梯间地砖防滑等级为Ad级(静摩擦系数:COF≥0.70)
2)30厚1:3水泥砂浆结合层
</t>
  </si>
  <si>
    <t>水磨石楼梯面层/地面</t>
  </si>
  <si>
    <t>1)15厚1:2.5水泥或彩色水泥,彩色石子表面密封固化剂打磨（米色水磨石)</t>
  </si>
  <si>
    <t>架空地板D5</t>
  </si>
  <si>
    <t>1)180高架空防静电活动地板
2)配套腻子刮平打磨平整</t>
  </si>
  <si>
    <t>复合木地板</t>
  </si>
  <si>
    <t>1)复合木地板
2)5厚减振垫板</t>
  </si>
  <si>
    <t>复合木地板 D9 (篮球场、乒乓球场、羽毛球场)</t>
  </si>
  <si>
    <t xml:space="preserve">1、专用运动地板18MM厚
2、双层9厚多层木板(防火涂料三度)
3、木龙骨@400*400(防火、防腐处理)
4、专用减震胶垫
</t>
  </si>
  <si>
    <t>塑料卷材楼地面</t>
  </si>
  <si>
    <t>1)木纹PVC地胶
2)地胶专用胶粘贴
3)5mm水泥自流平</t>
  </si>
  <si>
    <t>石材楼地面 门槛石</t>
  </si>
  <si>
    <t>1、20MM厚石材门槛石
2、20厚1:2.5水泥砂浆找平,压实抹光</t>
  </si>
  <si>
    <t>金属踢脚线</t>
  </si>
  <si>
    <t>黑色不锈钢踢脚线</t>
  </si>
  <si>
    <t>水泥砂浆踢脚线</t>
  </si>
  <si>
    <t>15厚1:2.5米色水磨石踢脚</t>
  </si>
  <si>
    <t>木质踢脚线</t>
  </si>
  <si>
    <t>WD-01木纹木质踢脚线</t>
  </si>
  <si>
    <t>块料踢脚线</t>
  </si>
  <si>
    <t>浅灰色瓷砖踢脚线/80高15厚块料踢脚</t>
  </si>
  <si>
    <t>抹灰面油漆 真石漆 外墙1、2</t>
  </si>
  <si>
    <t>真石漆外墙
· 外墙漆(具体以施工工艺为准)
· 封固底漆一道
· 刮柔性耐水腻子两遍</t>
  </si>
  <si>
    <t>块料墙面 外墙3 连廊 走廊</t>
  </si>
  <si>
    <t>面砖外墙 300*600白色墙砖
· 面砖聚合物砂浆粘贴,白水泥或填缝剂勾缝</t>
  </si>
  <si>
    <t>白色无机涂料 三遍</t>
  </si>
  <si>
    <t>抹灰面油漆 无机涂料墙面</t>
  </si>
  <si>
    <t xml:space="preserve">1)无机涂料 三遍 (颜色综合考虑)
注:涂料需采用耐洗刷性≥5000次的内墙涂料;
2）涂饰抗碱封底底涂,表面2厚耐水腻子分遍刮平打磨
</t>
  </si>
  <si>
    <t>块料墙面 内墙1 公共走道/美术教室</t>
  </si>
  <si>
    <t xml:space="preserve">1、300*600白色墙砖，背胶铺贴
2、涂饰抗碱封底底涂,表面2厚耐水腻子分遍刮平打磨
</t>
  </si>
  <si>
    <t>块料墙面 内墙3 卫生间、盥洗、开水间、饮水间等有水空间</t>
  </si>
  <si>
    <t xml:space="preserve">1、300*600白色墙砖，背胶铺贴
注:有釉砖耐磨性不低于4级,无釉砖磨坑体积不大于127mm3
</t>
  </si>
  <si>
    <t>块料墙面 内墙7 （行政门厅、接待大厅）</t>
  </si>
  <si>
    <t xml:space="preserve">1)300*600白色墙砖，背胶铺贴
注:有釉砖耐磨性不低于4级,无釉砖磨坑体积不大于127mm3.
</t>
  </si>
  <si>
    <t>墙面装饰板 木饰面体 内墙2 球场</t>
  </si>
  <si>
    <t xml:space="preserve">1)蓝色海绵护墙板
3)12厚阻燃板
4)轻钢龙骨
</t>
  </si>
  <si>
    <t>墙面装饰板 镜面 内墙2 舞蹈教室</t>
  </si>
  <si>
    <t xml:space="preserve">1)6厚银镜面玻璃 在胶合板上粘贴
3)9厚阻燃板
4)木龙骨
</t>
  </si>
  <si>
    <t>墙面装饰板 木饰面体 内墙2 舞蹈教室</t>
  </si>
  <si>
    <t xml:space="preserve">1)WD-02木饰面
3)12厚阻燃板
4)轻钢龙骨
</t>
  </si>
  <si>
    <t>块料墙面 内墙3 泳池 上岸</t>
  </si>
  <si>
    <t xml:space="preserve">1、300*600米色瓷砖，背胶铺贴
注:有釉砖耐磨性不低于4级,无釉砖磨坑体积不大于127mm3
</t>
  </si>
  <si>
    <t xml:space="preserve">1、300*300蓝色瓷砖，背胶铺贴
注:有釉砖耐磨性不低于4级,无釉砖磨坑体积不大于127mm3
</t>
  </si>
  <si>
    <t>块料墙面 内墙3 泳池</t>
  </si>
  <si>
    <t xml:space="preserve">1、100*100蓝色防滑瓷砖，背胶铺贴
注:有釉砖耐磨性不低于4级,无釉砖磨坑体积不大于127mm3
</t>
  </si>
  <si>
    <t>防霉涂料墙面 内墙5 （杂物间、总务仓库、体育器材室、印象设备间、多功能准备室、消控室、中心机房监控室、配电间）</t>
  </si>
  <si>
    <t>1、15厚1:2.5石灰膏砂浆打底分层抹平
2、白色防霉涂料三遍 墙面</t>
  </si>
  <si>
    <t>墙面装饰板 内墙6 （技术教室、音乐教室）</t>
  </si>
  <si>
    <t>1）洞洞吸音板 18MM
2）12厚阻燃板基层
3）轻钢龙骨</t>
  </si>
  <si>
    <t>墙面装饰板 内墙6 吸音墙面（小剧场、礼堂）</t>
  </si>
  <si>
    <t>1）木纹吸音板 18MM
2）12厚阻燃板基层
3）轻钢龙骨</t>
  </si>
  <si>
    <t>1）灰色吸音板 18MM
2）12厚阻燃板基层
3）轻钢龙骨</t>
  </si>
  <si>
    <t>1）木纹格栅
2）12厚阻燃板基层
3）轻钢龙骨</t>
  </si>
  <si>
    <t>块料墙面 内墙 （瓷砖包管）</t>
  </si>
  <si>
    <t>1、300*600米白色墙砖，背胶铺贴（海棠角）
注:有釉砖耐磨性不低于4级,无釉砖磨坑体积不大于127mm3
2、双层水泥板
3、30*30*3镀锌方通</t>
  </si>
  <si>
    <t>石材窗台板</t>
  </si>
  <si>
    <t>窗台板 米白色人造石，含下翻40MM</t>
  </si>
  <si>
    <t>防霉涂料顶棚  顶棚1 管道井、配电间、消控室、中心机房监控室）</t>
  </si>
  <si>
    <t>1)防霉涂料一底两面,沿墙面往下100mm
2)满刮腻子二遍沿墙面往下100mm打磨平整</t>
  </si>
  <si>
    <t>乳胶漆饰面 天棚2 原顶天棚</t>
  </si>
  <si>
    <t>1)无机涂料三遍
2)3~5厚基底防裂腻子分遍找平
4)砼界面剂，天棚</t>
  </si>
  <si>
    <t>板材吊顶 顶棚3、4 铝板吊顶</t>
  </si>
  <si>
    <t>1)装配式U形轻钢天棚龙骨(不上人型) 规格(mm) 600×600 平面
2)0.8MM厚600*600白色铝板
3)L型收边条</t>
  </si>
  <si>
    <t>1)装配式U形轻钢天棚龙骨(不上人型) 规格(mm) 600×600 平面
2)0.8MM厚600*600白色铝板
3)L型收边条
4)跌级</t>
  </si>
  <si>
    <t>跌级吊顶
1)装配式U形轻钢天棚龙骨(不上人型) 规格(mm) 600×600 平面
2)0.8MM厚600*600白色铝板
3)L型收边条</t>
  </si>
  <si>
    <t>板材吊顶 顶棚4 石膏板吊顶</t>
  </si>
  <si>
    <t>1)装配式U形轻钢天棚龙骨(不上人型) 规格(mm) 600×600 平面
2)双层9.5MM石膏板 安在U形 轻钢龙骨上
3)无机涂料三遍</t>
  </si>
  <si>
    <t>板材吊顶 顶棚3 硅酸钙板吊顶</t>
  </si>
  <si>
    <t>1)装配式U形轻钢天棚龙骨(不上人型) 规格(mm) 600×600 平面
2)双层硅酸钙板 安在U形 轻钢龙骨上
4)白色防水无机涂料三遍</t>
  </si>
  <si>
    <t>吊顶天棚 顶棚4 技术教室 铝方通吊顶</t>
  </si>
  <si>
    <t>阶梯型，跌级吊顶
1、装配式U形轻钢天棚龙骨(不上人型) 规格(mm) 600×600 平面
2、9MM阻燃板安在U形 轻钢龙骨上
3、铝方通20*40*1.2MM厚 条型 间距（mm） 50</t>
  </si>
  <si>
    <t>板材吊顶 顶棚4 饰面板吊顶 技术教室</t>
  </si>
  <si>
    <t>1)装配式U形轻钢天棚龙骨(不上人型) 规格(mm) 600×600 平面
2)9MM阻燃板 安在U形 轻钢龙骨上
3)木纹防火板</t>
  </si>
  <si>
    <t>板材吊顶 顶棚4 饰面板吊顶 合班教室</t>
  </si>
  <si>
    <t>板材吊顶 顶棚4 阻燃板吊顶 礼堂/合班教室</t>
  </si>
  <si>
    <t>1)装配式U形轻钢天棚龙骨(不上人型) 规格(mm) 600×600 平面
2)9MM阻燃板 安在U形 轻钢龙骨上
3)吊顶天棚 9MM阻燃板天棚
4)无机涂料三遍</t>
  </si>
  <si>
    <t>板材吊顶 顶棚4 吸音吊顶 礼堂</t>
  </si>
  <si>
    <t>1)装配式U形轻钢天棚龙骨(不上人型) 规格(mm) 600×600 平面
2)9MM阻燃板 安在U形 轻钢龙骨上
3)洞洞吸音板 18MM</t>
  </si>
  <si>
    <t>吊顶天棚 顶棚4 铝方通吊顶</t>
  </si>
  <si>
    <t>1、装配式U形轻钢天棚龙骨(不上人型) 规格(mm) 600×600 平面
2、木纹铝方通50*100*1.2MM厚 条型 间距（mm） 200</t>
  </si>
  <si>
    <t>木窗帘盒 技术教室</t>
  </si>
  <si>
    <t>窗帘盒
成品窗帘轨 暗装 双轨</t>
  </si>
  <si>
    <t>m</t>
  </si>
  <si>
    <t>灯带（槽）</t>
  </si>
  <si>
    <t>悬挑式灯槽 直形 9MM阻燃板
无机涂料三遍</t>
  </si>
  <si>
    <t>金属装饰线</t>
  </si>
  <si>
    <t>黑色不锈钢板槽 1.2MM厚 C=200*50
阻燃板基层 δ12</t>
  </si>
  <si>
    <t>送风口、回风口</t>
  </si>
  <si>
    <t>灯光孔、风口(每个面积在m2以内)开孔 0.02</t>
  </si>
  <si>
    <t>个</t>
  </si>
  <si>
    <t>灯光孔、风口(每个面积在m2以内)开孔 0.04</t>
  </si>
  <si>
    <t>灯光孔、风口(每个面积在m2以内)开孔 0.1</t>
  </si>
  <si>
    <t>空调板栏杆</t>
  </si>
  <si>
    <t>空调板栏杆, 800MM高，参22J403-1（3-45 PA33、PB33)</t>
  </si>
  <si>
    <t>防护栏杆 走廊</t>
  </si>
  <si>
    <t>防护栏杆,1250MM高，参22J403-1（3-45 PA33、PB33)，栏杆立杆间距≤90</t>
  </si>
  <si>
    <t>防护栏杆，400MM高，参22J403-1（3-45 PA33、PB33)</t>
  </si>
  <si>
    <t>楼梯防护栏杆</t>
  </si>
  <si>
    <t>楼梯护窗栏杆，900MM高，参22J403-1中2-7页A2、B2型，栏杆立杆净距≤90mm</t>
  </si>
  <si>
    <t>楼梯栏杆/无障碍楼梯栏杆</t>
  </si>
  <si>
    <t>楼梯栏杆，高度1050MM，参22J403-1中2-7页A2、B2型，栏杆立杆净距≤90mm</t>
  </si>
  <si>
    <t>楼梯栏杆，高度1200MM，参22J403-1中2-7页A2、B2型，栏杆立杆净距≤90mm</t>
  </si>
  <si>
    <t>楼梯靠墙扶手</t>
  </si>
  <si>
    <t>楼梯靠墙扶手，参22J403-1中5-3页1型</t>
  </si>
  <si>
    <t>无障碍楼梯靠墙扶手</t>
  </si>
  <si>
    <t>无障碍靠墙楼梯栏杆，参图集12J926中F8页2型</t>
  </si>
  <si>
    <t>坡道无障碍栏杆</t>
  </si>
  <si>
    <t>坡道无障碍栏杆，900MM高，参图集12J926中H2</t>
  </si>
  <si>
    <t>室外靠墙扶手</t>
  </si>
  <si>
    <t>1、楼梯靠墙扶手详国标15J403-1第E4页k10型
2、外露铁件均防锈漆打底,面刷黑色调和漆两度</t>
  </si>
  <si>
    <t>室外楼梯扶手</t>
  </si>
  <si>
    <t>1、室外楼梯扶手1250MM高，详国标15J403-1第B14页A1型
2、外露铁件均防锈漆打底,面刷黑色调和漆两度</t>
  </si>
  <si>
    <t>玻璃栏板</t>
  </si>
  <si>
    <t>木纹铝合金玻璃扶手 1200MM高</t>
  </si>
  <si>
    <t xml:space="preserve">台阶 </t>
  </si>
  <si>
    <t>1)30厚火烧面芝麻黑石材,专用勾缝剂勾缝
2)30厚水泥砂浆结合层
3)刷基层处理剂一道</t>
  </si>
  <si>
    <t>GRC装饰线条</t>
  </si>
  <si>
    <t>发泡陶瓷装饰构件 150*200</t>
  </si>
  <si>
    <t>发泡陶瓷装饰构件 L型-600*600，厚100MM（0.125立方/延长米)</t>
  </si>
  <si>
    <t>发泡陶瓷装饰构件 三角异性，厚100MM（0.193立方/延长米)</t>
  </si>
  <si>
    <t>成品隔断</t>
  </si>
  <si>
    <t>大便池/小便池木纹成品钢制隔断，含五金配件</t>
  </si>
  <si>
    <t>镜面玻璃</t>
  </si>
  <si>
    <t>盥洗室台镜 带框 银镜玻璃</t>
  </si>
  <si>
    <t>洗漱台</t>
  </si>
  <si>
    <t>1、大理石洗漱台
2、大理石台面面盆 开孔</t>
  </si>
  <si>
    <t>窗帘</t>
  </si>
  <si>
    <t>成品蓝色布艺窗帘，含窗帘杆</t>
  </si>
  <si>
    <t>成品铝合金百叶帘</t>
  </si>
  <si>
    <t>窗帘 技术教室</t>
  </si>
  <si>
    <t>成品布艺窗帘+纱帘</t>
  </si>
  <si>
    <t>2.5屋顶造型铝板</t>
  </si>
  <si>
    <t>1)2.5mm厚铝扣板
2)轻钢龙骨
3)无机涂料三遍</t>
  </si>
  <si>
    <t>3.0屋顶造型铝板：</t>
  </si>
  <si>
    <t>1)3.0mm厚铝扣板
2)轻钢龙骨
3)无机涂料三遍</t>
  </si>
  <si>
    <t>楼梯踏步防滑条</t>
  </si>
  <si>
    <t>参22J403-1中5-7页节点7做法：
1、开槽(断面面积) ≤30mm2
2、专用胶粘结剂粘结硬橡胶条</t>
  </si>
  <si>
    <t>泳池不锈钢攀爬梯</t>
  </si>
  <si>
    <t>不锈钢材质，参国标10S605，扶梯106</t>
  </si>
  <si>
    <t>硬木靠墙扶手 舞蹈教室</t>
  </si>
  <si>
    <t>实木扶手</t>
  </si>
  <si>
    <t xml:space="preserve">楼地面面层
1)10厚防滑地砖(彩色水泥浆或专用填缝剂擦缝)
注:楼梯间地砖防滑等级为Ad级(静摩擦系数:COF≥0.70)
2)30厚1:3水泥砂浆结合层
</t>
  </si>
  <si>
    <t xml:space="preserve">楼地面面层
1)10厚防滑盲道地砖(彩色水泥浆或专用填缝剂擦缝)
注:楼梯间地砖防滑等级为Ad级(静摩擦系数:COF≥0.70)
2)30厚1:3水泥砂浆结合层
</t>
  </si>
  <si>
    <t>环氧树脂地面1 风机房,防火分区配电间,发电机房储油间/机动车库</t>
  </si>
  <si>
    <t>1、2厚溶剂型环氧砂浆(沙粒面)地坪漆;(a、环氧底漆;b、环氧砂浆中涂;c、环氧腻子;d、环氧溶剂皱面面涂)。</t>
  </si>
  <si>
    <t>环氧树脂地面2 变配电间
降板850mm</t>
  </si>
  <si>
    <t xml:space="preserve">1、2厚溶剂型环氧砂浆(沙粒面)地坪漆;(a、环氧底漆;b、环氧砂浆中涂;c、环氧腻子;d、环氧溶剂皱面面涂)。
2、绝缘垫
</t>
  </si>
  <si>
    <t>地砖地面 电梯厅、货梯厅、工具间、前室</t>
  </si>
  <si>
    <t>1、5厚防滑地砖,背面批水泥浆(掺建筑胶)3~8mm铺贴,专用防霉填缝剂填缝(缝宽〈2mm)
2、50厚1:2.5(干硬性)结合层兼找平,表面撒水泥粉</t>
  </si>
  <si>
    <t>地砖地面 消防水泵房、生活水泵房、垃圾收集室</t>
  </si>
  <si>
    <t>1、5厚防滑地砖,背面批水泥浆(掺建筑胶)3~8mm铺贴,专用防霉填缝剂填缝(缝宽&lt;2mm) 
2、20厚1:2水泥砂浆结合层 
3、最薄处30厚陶粒混凝土CL5.0(MPa)垫层1%找坡至排水沟或地漏</t>
  </si>
  <si>
    <t>自流坪楼地面 
超耐磨聚氨酯砂浆防滑坡道1、2 机动车坡道(结构主体范围内)</t>
  </si>
  <si>
    <t xml:space="preserve">1、5mm厚水性超耐磨聚氨酯砂浆地坪漆
(a、水性聚氨酯底漆;b、2.5mm厚超耐磨聚氨酯抗压层;c、2.5mm厚超耐磨聚氨酯防滑层)。
</t>
  </si>
  <si>
    <t>1、地砖踢脚(材料同地面),用专业胶粘结
2、15厚1:2水泥砂浆分层找平 
3、砌块或混凝土墙面(混凝土墙面刷界面剂一道)</t>
  </si>
  <si>
    <t>瓷砖墙面 垃圾收集室 地面完成面以上1.2m</t>
  </si>
  <si>
    <t>1、白瓷砖或彩色墙面砖,同色专用填缝剂嵌缝
2、3~8 厚纯瓷砖专用粘结剂满粘</t>
  </si>
  <si>
    <t>瓷砖墙面 垃圾收集室 1.2m以上部分</t>
  </si>
  <si>
    <t>白色耐水腻子</t>
  </si>
  <si>
    <t>白色防霉涂料墙面 
变配电间,发电机房,储油间,消防水泵房、生活水泵房、进排风机房(位于主楼投影范围外)、地下车库</t>
  </si>
  <si>
    <t>1、一底二度无机内墙涂料(白色)
2、耐水石膏腻子批平
3、15厚1:2.5石灰膏砂浆打底分层抹平
4、砌块或混凝土墙面(混凝土墙面刷界面剂一道)（另列项目）</t>
  </si>
  <si>
    <t>吸音墙面 进排风机房(位于主楼投影范围内)-不含2#楼</t>
  </si>
  <si>
    <t>参国标05JK909页255内墙31C、内墙31D
1、50*50*0.7轻钢龙骨
2、40厚岩棉毡，玻璃布一层
3、穿孔石膏板面层
4、乳胶漆饰面三遍</t>
  </si>
  <si>
    <t>抹灰面油漆 电梯厅、货梯厅、工具间、前室</t>
  </si>
  <si>
    <t>1)面涂三道
注:涂料需采用耐洗刷性≥5000次的内墙涂料;
2）涂饰抗碱封底底涂,表面2厚耐水腻子分遍刮平打磨</t>
  </si>
  <si>
    <t>抹灰面油漆 独立柱面</t>
  </si>
  <si>
    <t>乳胶漆三遍</t>
  </si>
  <si>
    <t>抹灰面油漆 机动车坡道侧墙及地面防护墙抹</t>
  </si>
  <si>
    <t>1、米白色真石漆
2、封固底漆一道
3、刮柔性耐水腻子两遍
4、5厚聚合物抗裂砂浆复合耐碱玻璃纤维网格布
5、墙面基层界面处理（另列项目）</t>
  </si>
  <si>
    <t>墙面一般抹灰
-防化器材室
防护构件库
滤毒室
防毒通道
除尘前室
密闭通道及外通道
战时进风机房
扩散室
除尘后室</t>
  </si>
  <si>
    <t xml:space="preserve">1、表面平整刮白
</t>
  </si>
  <si>
    <t>吊顶天棚 主楼范围内的进排风机房</t>
  </si>
  <si>
    <t>穿孔石膏板吸声吊顶,参国标05JK909页278棚33A
1、装配式U形轻钢天棚龙骨(不上人型) 规格(mm) ＞600×600 平面
2、超细玻璃丝棉 厚度50
3、埃特板</t>
  </si>
  <si>
    <t>防霉涂料顶棚1 机动车坡道、发电机房、防火分区配电间
变配电间、货梯厅、工具间、前室、机动车库</t>
  </si>
  <si>
    <t>1、钢筋混凝土楼板(基层清理,打磨平整)
2、满刮腻子二遍沿墙面往下100mm打磨平整
3、防霉涂料一底两面,沿墙面往下100mm</t>
  </si>
  <si>
    <t>防霉涂料顶棚2 消防水泵房、生活水泵房 垃圾收集室</t>
  </si>
  <si>
    <t>1、钢筋混凝土楼板(基层清理,打磨平整)
2、满刮腻子二遍沿墙面往下100mm打磨平整
3、防霉涂料一底两面,沿墙面往下100mm
4、2厚耐水腻子分层批平</t>
  </si>
  <si>
    <t>标线</t>
  </si>
  <si>
    <t>纵向标线 热熔涂料 普通型</t>
  </si>
  <si>
    <t>标记</t>
  </si>
  <si>
    <t>文字、字符、图形标记 热熔涂料</t>
  </si>
  <si>
    <t>橡胶车轮定位器</t>
  </si>
  <si>
    <t>1.橡胶车轮定位器 安装 底宽160MM，500MM长</t>
  </si>
  <si>
    <t>组</t>
  </si>
  <si>
    <t>1.橡胶车轮定位器 安装 底宽160MM，600MM长</t>
  </si>
  <si>
    <t>防撞筒（墩）</t>
  </si>
  <si>
    <t>薄型条防撞条，参见05J927-1大样5</t>
  </si>
  <si>
    <t>减速垄</t>
  </si>
  <si>
    <t>二</t>
  </si>
  <si>
    <t>室外工程</t>
  </si>
  <si>
    <t>金属扶手、栏杆、栏板</t>
  </si>
  <si>
    <t>1、围墙栏杆 1.4M高
2、方钢管{具体详图纸}、喷褐色氟碳漆</t>
  </si>
  <si>
    <t>钢质花饰大门</t>
  </si>
  <si>
    <t>1、铁艺大门1830MM高
2、矩形钢管{具体详图纸}，黑色氟碳漆饰面</t>
  </si>
  <si>
    <t>户外台阶 镀锌栏杆1200MM高，深灰色氟碳漆饰面
1、上下横杠80*60*3厚镀锌方通
2、小立杆50*30*2厚镀锌方通@110布置
3、大立杆60*60*3厚镀锌方通@1990布置
4、150*150*8厚预埋钢板，4L200 C8钢筋锚固</t>
  </si>
  <si>
    <t>无障碍坡度不锈钢栏杆 850MM高（拉丝面）
具体详施工图</t>
  </si>
  <si>
    <t>挖一般土方</t>
  </si>
  <si>
    <t>人机配合挖一般土方装车 三类土</t>
  </si>
  <si>
    <t>m3</t>
  </si>
  <si>
    <t>挖沟槽土方</t>
  </si>
  <si>
    <t>人机配合挖基坑基槽土方不装车 三类土</t>
  </si>
  <si>
    <t>回填方</t>
  </si>
  <si>
    <t>机械填土夯实 槽、坑</t>
  </si>
  <si>
    <t>碎石 沥青、花岗岩路面垫层</t>
  </si>
  <si>
    <t>级配碎石摊铺  实际厚度(cm):15</t>
  </si>
  <si>
    <t>水泥稳定碎(砾）石</t>
  </si>
  <si>
    <t>上/下层：150厚3.0MPa水泥稳定碎石,参考水泥剂量为6%</t>
  </si>
  <si>
    <t>沥青混凝土</t>
  </si>
  <si>
    <t>40mm改性细粒式沥青混凝土(AC-13C)
AL(M)-3热沥青粘层(1.0kg/m2)
60mm改性中粒式沥青混凝土（AC-20C）
10厚下封层（乳化沥青、1.0kg/m2）
下封层及AL(M)-1沥青透层（1.5kg/m2)</t>
  </si>
  <si>
    <t>40mm改性细粒式沥彩色青混凝土(AC-13C)
AL(M)-3热沥青粘层(1.0kg/m2)
60mm改性中粒式沥青混凝土（AC-20C）
10厚下封层（乳化沥青、1.0kg/m2）
下封层及AL(M)-1沥青透层（1.5kg/m2)</t>
  </si>
  <si>
    <t>块料面层</t>
  </si>
  <si>
    <t>600*300*50MM厚 芝麻灰花岗岩
60厚1:3干硬性水泥砂浆</t>
  </si>
  <si>
    <t>安砌侧(平、缘）石</t>
  </si>
  <si>
    <t>900*300*150MM厚 烧面芝麻灰路沿石
C15混凝土侧边捂实</t>
  </si>
  <si>
    <t>人行道整形碾压</t>
  </si>
  <si>
    <t>碎石 铺装与绿化交接</t>
  </si>
  <si>
    <t>碎石摊铺 实际厚度(cm):15</t>
  </si>
  <si>
    <t>级配碎石摊铺 实际厚度(cm):15
含加工，加工厂到工地运距综合考虑</t>
  </si>
  <si>
    <t>人行道块料铺设 透水</t>
  </si>
  <si>
    <t>200X100X50厚红色透水砖
30厚1:3干硬性水泥砂浆
100厚C20透水混凝土(孔隙率不小于10%)
30厚中砂找平层
透水土工布≥200g/m2
150厚级配碎石垫层（压实度≥93%），含加工，加工厂到工地运距综合考虑</t>
  </si>
  <si>
    <t>200X100X50厚灰色透水砖收边
30厚1:3干硬性水泥砂浆
100厚C20透水混凝土(孔隙率不小于10%)
30厚中砂找平层
透水土工布≥200g/m2
150厚级配碎石垫层（压实度≥93%），含加工，加工厂到工地运距综合考虑</t>
  </si>
  <si>
    <t>600X300X50厚仿芝麻白透水砖
30厚1:3干硬性水泥砂浆
100厚C20透水混凝土(孔隙率不小于10%)
30厚中砂找平层
透水土工布≥200g/m2
150厚级配碎石垫层（压实度≥93%），含加工，加工厂到工地运距综合考虑</t>
  </si>
  <si>
    <t>600X300X50厚仿芝麻灰透水砖收边
30厚1:3干硬性水泥砂浆
100厚C20透水混凝土(孔隙率不小于10%)
30厚中砂找平层
透水土工布≥200g/m2
150厚级配碎石垫层（压实度≥93%），含加工，加工厂到工地运距综合考虑</t>
  </si>
  <si>
    <t>人行道块料铺设 非透水</t>
  </si>
  <si>
    <t>600X300X30厚烧面芝麻白
30厚1:3干硬性水泥砂浆
100厚C20混凝土垫层
150厚碎石稳定层</t>
  </si>
  <si>
    <t>600X600X30厚烧面芝麻灰收边
30厚1:3干硬性水泥砂浆
100厚C20混凝土垫层
150厚碎石稳定层</t>
  </si>
  <si>
    <t>600X600X30厚烧面芝麻白
30厚1:3干硬性水泥砂浆
100厚C20混凝土垫层
150厚碎石稳定层</t>
  </si>
  <si>
    <t>600X300X30厚烧面芝麻灰收边
30厚1:3干硬性水泥砂浆
100厚C20混凝土垫层
150厚碎石稳定层</t>
  </si>
  <si>
    <t>400*200*30厚烧面芝麻灰收边
30厚1:3干硬性水泥砂浆
100厚C20混凝土垫层
150厚碎石稳定层</t>
  </si>
  <si>
    <t>400*200*30厚烧面芝麻白
30厚1:3干硬性水泥砂浆
100厚C20混凝土垫层
150厚碎石稳定层</t>
  </si>
  <si>
    <t>水泥混凝土 乒乓球场</t>
  </si>
  <si>
    <t>无色透明密封（双丙聚氨酯密封处理, 固体份&gt;40%）
50厚8-12粒径C20彩色透水混凝土面层,颜色详平面
150厚本色透水混凝土，纵横向缩缝不大于6米
150厚透水水泥稳定碎石层
150厚碎石垫层</t>
  </si>
  <si>
    <t>弹性面层 架空层区域</t>
  </si>
  <si>
    <t>面铺一层1.8mm高强加厚耐磨款PVC地垫
100厚C20混凝土垫层
150厚碎石稳定层</t>
  </si>
  <si>
    <t>80厚深绿色井字形植草砖，干沙扫缝，砖孔内填种植土掺草籽（含养护12个月）
30厚中砂
200厚5-12mm粒径C25透水混凝土垫层
200厚级配碎石垫层，含加工，加工厂到工地运距综合考虑</t>
  </si>
  <si>
    <t>200X100X50厚红褐透水砖
200厚5-12mm粒径C25透水混凝土垫层
200厚级配碎石垫层，含加工，加工厂到工地运距综合考虑</t>
  </si>
  <si>
    <t>水泥混凝土 充电桩</t>
  </si>
  <si>
    <t>150厚碎石垫层
500MM高C20素混凝土基础，含模板</t>
  </si>
  <si>
    <t>沥青混凝土 球场区</t>
  </si>
  <si>
    <t>天然草皮
250厚种植土
细粒式沥青砼（粒径小于10)40厚
50厚中粗砂层
透水土工布一层（有纺、无纺，透水≥100g/m2）
200厚级配碎石（干净无泥）（含加工，加工厂到工地运距综合考虑），表面用中粗砂灌缝压平
100厚碎石
素土夯实（压实度＞0.95）</t>
  </si>
  <si>
    <t>弹性面层 跑道</t>
  </si>
  <si>
    <t>13厚透气型塑胶面层（合成材料）,颜色详平面
30mm改性细粒式沥青混凝土(AC-10C)
AL(M)-3热沥青粘层(1.0kg/m2)
40mm改性中粒式沥青混凝土（AC-20C）
10厚下封层（乳化沥青、1.0kg/m2）
下封层及AL(M)-1沥青透层（1.5kg/m2)
200厚C25混凝土内配A6@250单层双向钢筋网片
150厚级配碎石垫层，碎石粒径≤40,，含加工，加工厂到工地运距综合考虑
素土夯实,压实度≥95%</t>
  </si>
  <si>
    <t>弹性面层 消防路面 跑道</t>
  </si>
  <si>
    <t>13厚透气型塑胶面层（合成材料）,颜色详平面
30mm改性细粒式沥青混凝土(AC-10C)
AL(M)-3热沥青粘层(1.0kg/m2)
40mm改性中粒式沥青混凝土（AC-20C）
10厚下封层（乳化沥青、1.0kg/m2）
下封层及AL(M)-1沥青透层（1.5kg/m2)
250厚C25混凝土内配%%c6@250单层双向钢筋网片
200厚级配碎石垫层，碎石粒径≤40,含加工，加工厂到工地运距综合考虑
素土夯实,压实度≥95%</t>
  </si>
  <si>
    <t>卵石 沙坑</t>
  </si>
  <si>
    <t>400厚细白沙
土工布滤水层
200厚30~50厚卵石滤水层
100厚C15混凝土
100厚碎石垫层
素土夯实,密实度&gt;95%</t>
  </si>
  <si>
    <t>橡皮泥板</t>
  </si>
  <si>
    <t>1.3厚*100*1220木板 上贴橡皮泥7厚 
100厚*200*1220 木质起跳板(漆白色)</t>
  </si>
  <si>
    <t>排水沟、截水沟</t>
  </si>
  <si>
    <t>排水沟内空宽300MM，高≥400MM；（含沉沙井）
1、烧面芝麻灰花岗岩盖板,规格:660x500x50,用不等角钢50x32x3固定
2、20厚1:2.5水泥砂浆 内掺3%防水粉
3、砖砌排水沟MU10砌块180MM宽，M7.5水泥砂浆(含120MM厚砖砌平基)
4、100厚C15混凝土垫层，900MM宽
5、100厚碎石稳定层，1100MM宽
6、素土夯实，密实度≥93%</t>
  </si>
  <si>
    <t>弹性面层 篮球场</t>
  </si>
  <si>
    <t>1、4厚球场用硅pu 塑胶加强层表面喷防滑面涂（颜色详施工图）
2、7厚球场用硅pu 塑胶缓冲层（基层表面一道硅pu底涂）
3、30厚细粒式沥青混凝土（AC-10） 粘层油（规格pc-3,0.5L/m2）
4、50厚中粒式沥青混凝土（AC-16） 乳化沥青透层（沥青用量1L/m2，粗砂用量3m2/1000m2
5、150厚水泥稳定砂砾（6%）
6、180厚级配碎石
7、素土夯实（压实度＞0.95）</t>
  </si>
  <si>
    <t>排水沟内空宽240MM，高320MM；
1、50厚烧面芝麻灰打孔盖板
2、20厚1:2.5水泥砂浆 内掺3%防水粉
3、120厚C15混凝土垫层，580MM宽
4、100厚碎石稳定层，680MM宽
5、120MM厚MU7.5砌块，M5水泥砂浆
6、素土夯实，密实度＞93%</t>
  </si>
  <si>
    <t>独立基础</t>
  </si>
  <si>
    <t>现浇混凝土 独立基础 混凝土 预拌混凝土 C25</t>
  </si>
  <si>
    <t>现浇混凝土 独立基础 混凝土 预拌混凝土 C30</t>
  </si>
  <si>
    <t>基础</t>
  </si>
  <si>
    <t>独立基础 复合模板 木支撑</t>
  </si>
  <si>
    <t>现浇构件钢筋</t>
  </si>
  <si>
    <t>现浇构件圆钢筋HPB300 直径(mm) ≤10</t>
  </si>
  <si>
    <t>t</t>
  </si>
  <si>
    <t>现浇构件带肋钢筋HRB400以内 直径(mm) ≤18</t>
  </si>
  <si>
    <t>混凝土垫层</t>
  </si>
  <si>
    <t>现浇混凝土构件 垫层 混凝土 预拌混凝土 C15</t>
  </si>
  <si>
    <t>垫层模板</t>
  </si>
  <si>
    <t>现浇混凝土模板 混凝土基础垫层 木模</t>
  </si>
  <si>
    <t>现浇混凝土构件 垫层 碎石</t>
  </si>
  <si>
    <t>预埋铁件</t>
  </si>
  <si>
    <t>铁件制作、安装 预埋铁件</t>
  </si>
  <si>
    <t>金属网栏</t>
  </si>
  <si>
    <t>球场金属围栏4米高
1、墨绿色浸塑网丝围孔网径45X45
3、上下横杠Φ60钢管，壁厚3
4、立柱Φ75钢管，壁厚3，间距3米
5、含金属围栏门
5、制作、安装</t>
  </si>
  <si>
    <t>水泥混凝土</t>
  </si>
  <si>
    <t>面铺80厚Φ8-13灰色砾石
100厚C20混凝土垫层
150厚碎石稳定层</t>
  </si>
  <si>
    <t>菜地收边</t>
  </si>
  <si>
    <t>1、250*100*5厚矩形钢，仿木纹漆饰面
2、100MM宽100厚C20混凝土垫层
3、200MM宽150厚碎石稳定层</t>
  </si>
  <si>
    <t>人行道块料铺设</t>
  </si>
  <si>
    <t>200X200X30厚烧面芝麻白</t>
  </si>
  <si>
    <t>200X200X30厚烧面芝麻灰</t>
  </si>
  <si>
    <t>基础梁</t>
  </si>
  <si>
    <t>现浇混凝土 基础梁 预拌混凝土 C30</t>
  </si>
  <si>
    <t>现浇混凝土 基础梁 预拌混凝土 C25</t>
  </si>
  <si>
    <t>基础梁 复合模板 木支撑</t>
  </si>
  <si>
    <t>现浇构件带肋钢筋HRB400以内 直径(mm) ≤10</t>
  </si>
  <si>
    <t>劳动基地围栏</t>
  </si>
  <si>
    <t>1、1.5米高
2、120*120*6厚矩形管立柱@1800
3、60*20*2厚矩形管格栅@80
4、仿木纹漆饰面
5、含围栏门</t>
  </si>
  <si>
    <t>劳动基地格栅</t>
  </si>
  <si>
    <t>1、1.7米高
2、矩形钢外框，仿木纹漆饰面
3、Φ10钢筋格栅，白色氟碳漆饰面</t>
  </si>
  <si>
    <t>构造柱</t>
  </si>
  <si>
    <t>现浇混凝土 构造柱 预拌混凝土 C30</t>
  </si>
  <si>
    <t>构造柱 复合模板 钢支撑</t>
  </si>
  <si>
    <t>圈梁</t>
  </si>
  <si>
    <t>现浇混凝土 圈梁 预拌混凝土 C25</t>
  </si>
  <si>
    <t>圈梁 直形 复合模板 钢支撑</t>
  </si>
  <si>
    <t>砖基础</t>
  </si>
  <si>
    <t>M7.5水泥砂浆砌MU10砖</t>
  </si>
  <si>
    <t>墙面一般抹灰</t>
  </si>
  <si>
    <t>20厚1:2.5水泥砂浆</t>
  </si>
  <si>
    <t>抹灰线条油漆</t>
  </si>
  <si>
    <t>装饰线条 20厚1:2.5水泥砂浆</t>
  </si>
  <si>
    <t>墙面勾缝</t>
  </si>
  <si>
    <t>柱面勾凹缝</t>
  </si>
  <si>
    <t>墙面变形缝</t>
  </si>
  <si>
    <t>30MM宽沥青麻丝填实</t>
  </si>
  <si>
    <t>抹灰面油漆</t>
  </si>
  <si>
    <t>米黄色真石漆 墙面</t>
  </si>
  <si>
    <t>米黄色真石漆 柱面</t>
  </si>
  <si>
    <t>米黄色真石漆 墙面 墙面 线条、压顶</t>
  </si>
  <si>
    <t>级配砾石层，粒径2~3:3~4CM按4:6混合比
含加工，加工厂到工地运距综合考虑</t>
  </si>
  <si>
    <t>土工合成材料</t>
  </si>
  <si>
    <t>透水土工布≥200g/M2</t>
  </si>
  <si>
    <t>中粗砂垫层</t>
  </si>
  <si>
    <t>宾格石笼 填鹅卵石，粒径30~50</t>
  </si>
  <si>
    <t>人行道块料铺设 塑木地板</t>
  </si>
  <si>
    <t>1、140x30xL 咖啡色实心塑木地板 留缝5mm外刷耐候木油，专用扣件固定
2、□50x50塑木龙骨 @330，50x20硬木方,防腐处理
3、100厚C20混凝土(内配C8@150单层双向钢筋)
4、150厚碎石稳定层</t>
  </si>
  <si>
    <t>石材台阶面</t>
  </si>
  <si>
    <t>1、≥120厚C20混凝土(内配C8@150单层双向钢筋)
2、150厚碎石垫层</t>
  </si>
  <si>
    <t>1、烧面芝麻白花岗岩600x150x20，（踢面）
2、30厚1:3干硬性水泥砂浆</t>
  </si>
  <si>
    <t>1、600x100x20厚 芝麻白烧面，（踢面）
2、30厚1:3干硬性水泥砂浆</t>
  </si>
  <si>
    <t>1、600X175X20厚亚光面芝麻白，（踢面）
2、30厚1:3干硬性水泥砂浆</t>
  </si>
  <si>
    <t>1、600X300X20厚亚光面芝麻白，（踢面）
2、30厚1:3干硬性水泥砂浆</t>
  </si>
  <si>
    <t>1、烧面芝麻白花岗岩600x520x50，（踏面）
2、30厚1:3干硬性水泥砂浆</t>
  </si>
  <si>
    <t>1、烧面 芝麻白花岗岩600x500x50，（踏面）
2、30厚1:3干硬性水泥砂浆</t>
  </si>
  <si>
    <t>1、350X600X50厚 芝麻白 烧面斜切角15，（踏面）
2、30厚1:3干硬性水泥砂浆</t>
  </si>
  <si>
    <t>1、300X600X50厚 芝麻白 烧面斜切角15，（踏面）
2、30厚1:3干硬性水泥砂浆</t>
  </si>
  <si>
    <t>石材楼地面</t>
  </si>
  <si>
    <t>600*300*80厚亚光面芝麻黑
20厚1:2.5水泥砂浆</t>
  </si>
  <si>
    <t>600*200*80厚亚光面芝麻黑
20厚1:2.5水泥砂浆</t>
  </si>
  <si>
    <t>石材墙面</t>
  </si>
  <si>
    <t>600*300*20厚亚光面芝麻白
20厚1:2.5水泥砂浆</t>
  </si>
  <si>
    <t>抹灰面油漆 台阶侧面</t>
  </si>
  <si>
    <t>20厚1:2.5水泥砂浆
外喷米黄色真石漆</t>
  </si>
  <si>
    <t>600X150X50厚烧面芝麻黑
20厚1:2.5水泥砂浆</t>
  </si>
  <si>
    <t>600X400X20厚烧面芝麻白
20厚1:2.5水泥砂浆</t>
  </si>
  <si>
    <t>非机动车雨棚</t>
  </si>
  <si>
    <t>1.钢骨架结构，外喷氟碳漆
2、Φ15不锈钢拉索
3、8厚白色聚碳酸酯板材</t>
  </si>
  <si>
    <t>带形基础</t>
  </si>
  <si>
    <t>现浇混凝土 带形基础 混凝土 预拌混凝土 C25</t>
  </si>
  <si>
    <t>带形基础  复合模板 木支撑</t>
  </si>
  <si>
    <t>设备基础</t>
  </si>
  <si>
    <t>现浇混凝土 设备基础 预拌混凝土 C25</t>
  </si>
  <si>
    <t>现浇混凝土 设备基础 预拌混凝土 C20</t>
  </si>
  <si>
    <t>设备基础(块体≤5m3) 复合模板 木支撑</t>
  </si>
  <si>
    <t>50厚500x600光面中国黑</t>
  </si>
  <si>
    <t>50厚320x600光面中国黑</t>
  </si>
  <si>
    <t>25厚600*150光面中国黑</t>
  </si>
  <si>
    <t>金属旗杆</t>
  </si>
  <si>
    <t>高度10.8米，旗杆Φ80-Φ180 壁厚2.5</t>
  </si>
  <si>
    <t>根</t>
  </si>
  <si>
    <t>高度9.8米，旗杆Φ80-Φ180 壁厚2.5</t>
  </si>
  <si>
    <t>现浇混凝土人行道及进口坡</t>
  </si>
  <si>
    <t>100厚C20混凝土垫层
150厚碎石稳定层</t>
  </si>
  <si>
    <t>500*100*170厚 烧面芝麻灰路沿石</t>
  </si>
  <si>
    <t>780*100*225厚 烧面芝麻灰路沿石</t>
  </si>
  <si>
    <t>780*100*300厚 烧面芝麻灰路沿石</t>
  </si>
  <si>
    <t>600*100*300厚 烧面芝麻灰路沿石</t>
  </si>
  <si>
    <t>人行道块料铺设 无障碍通道</t>
  </si>
  <si>
    <t>300x300x20芝麻灰,拉丝面
30厚1:3干硬性水泥砂浆</t>
  </si>
  <si>
    <t>300x300x20中国黑,烧面
30厚1:3干硬性水泥砂浆</t>
  </si>
  <si>
    <t>300x200x20中国黑,烧面
30厚1:3干硬性水泥砂浆</t>
  </si>
  <si>
    <t>300*300*50米黄色盲道砖
10厚长凸探条</t>
  </si>
  <si>
    <t>热熔 标志线</t>
  </si>
  <si>
    <t>热熔 图形标记</t>
  </si>
  <si>
    <t>600X150X20厚光面中国黑</t>
  </si>
  <si>
    <t>600X600X50厚光面中国黑</t>
  </si>
  <si>
    <t>水泥混凝土 地库顶板边缘或降板处铺装基础</t>
  </si>
  <si>
    <t>200厚C25砼 
内配A8@200单层双向
250厚级配碎石稳定层，含加工，加工厂到工地运距综合考虑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</si>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</sst>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>
      <alignment vertical="center"/>
    </xf>
    <xf numFmtId="0" fontId="5" fillId="0" borderId="3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left" vertical="center" wrapText="1"/>
    </xf>
    <xf numFmtId="176" fontId="5" fillId="0" borderId="3" xfId="49" applyNumberFormat="1" applyFont="1" applyFill="1" applyBorder="1" applyAlignment="1">
      <alignment horizontal="center" vertical="center"/>
    </xf>
    <xf numFmtId="0" fontId="1" fillId="0" borderId="5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2" borderId="3" xfId="49" applyFont="1" applyFill="1" applyBorder="1" applyAlignment="1">
      <alignment horizontal="left" vertical="center" wrapText="1"/>
    </xf>
    <xf numFmtId="176" fontId="5" fillId="2" borderId="3" xfId="49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5" fillId="0" borderId="3" xfId="49" applyFont="1" applyFill="1" applyBorder="1" applyAlignment="1">
      <alignment horizontal="left" vertical="center"/>
    </xf>
    <xf numFmtId="176" fontId="5" fillId="0" borderId="3" xfId="49" applyNumberFormat="1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left" vertical="center" wrapText="1"/>
    </xf>
    <xf numFmtId="176" fontId="5" fillId="0" borderId="6" xfId="49" applyNumberFormat="1" applyFon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176" fontId="5" fillId="0" borderId="3" xfId="49" applyNumberFormat="1" applyFont="1" applyFill="1" applyBorder="1" applyAlignment="1">
      <alignment vertical="center"/>
    </xf>
    <xf numFmtId="0" fontId="5" fillId="2" borderId="3" xfId="49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0" fillId="0" borderId="3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 2 2 2 2" xfId="50"/>
  </cellStyles>
  <tableStyles count="0" defaultTableStyle="TableStyleMedium2" defaultPivotStyle="PivotStyleLight16"/>
  <colors>
    <mruColors>
      <color rgb="00FFFFFF"/>
      <color rgb="00FCE4D3"/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2"/>
  <sheetViews>
    <sheetView tabSelected="1" workbookViewId="0">
      <pane ySplit="3" topLeftCell="A4" activePane="bottomLeft" state="frozen"/>
      <selection/>
      <selection pane="bottomLeft" activeCell="L7" sqref="L7"/>
    </sheetView>
  </sheetViews>
  <sheetFormatPr defaultColWidth="8.66666666666667" defaultRowHeight="14.25"/>
  <cols>
    <col min="1" max="1" width="4.66666666666667" style="2" customWidth="1"/>
    <col min="2" max="2" width="15.75" style="3" customWidth="1"/>
    <col min="3" max="3" width="22.25" style="4" customWidth="1"/>
    <col min="4" max="4" width="4.91666666666667" style="5" customWidth="1"/>
    <col min="5" max="5" width="8.08333333333333" style="6" customWidth="1"/>
    <col min="6" max="6" width="8.33333333333333" style="7" customWidth="1"/>
    <col min="7" max="7" width="8.16666666666667" style="7" customWidth="1"/>
    <col min="8" max="9" width="8.91666666666667" style="7"/>
    <col min="10" max="11" width="8.66666666666667" style="7"/>
    <col min="12" max="12" width="8.66666666666667" style="2"/>
    <col min="13" max="13" width="8.91666666666667" style="7"/>
    <col min="14" max="14" width="8.91666666666667" style="5"/>
    <col min="15" max="15" width="8.66666666666667" style="6"/>
    <col min="16" max="18" width="8.66666666666667" style="5"/>
    <col min="19" max="20" width="10.5833333333333" customWidth="1"/>
  </cols>
  <sheetData>
    <row r="1" ht="50" customHeight="1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/>
      <c r="G2" s="14"/>
      <c r="H2" s="14"/>
      <c r="I2" s="14"/>
      <c r="J2" s="14"/>
      <c r="K2" s="14"/>
      <c r="L2" s="10"/>
      <c r="M2" s="14"/>
      <c r="N2" s="12"/>
      <c r="O2" s="13"/>
      <c r="P2" s="12" t="s">
        <v>6</v>
      </c>
      <c r="Q2" s="12" t="s">
        <v>7</v>
      </c>
      <c r="R2" s="12" t="s">
        <v>8</v>
      </c>
      <c r="S2" s="12" t="s">
        <v>9</v>
      </c>
      <c r="T2" s="12" t="s">
        <v>10</v>
      </c>
    </row>
    <row r="3" spans="1:20">
      <c r="A3" s="10"/>
      <c r="B3" s="11"/>
      <c r="C3" s="11"/>
      <c r="D3" s="12"/>
      <c r="E3" s="13" t="s">
        <v>11</v>
      </c>
      <c r="F3" s="15" t="s">
        <v>12</v>
      </c>
      <c r="G3" s="15" t="s">
        <v>13</v>
      </c>
      <c r="H3" s="15" t="s">
        <v>14</v>
      </c>
      <c r="I3" s="15" t="s">
        <v>15</v>
      </c>
      <c r="J3" s="15" t="s">
        <v>16</v>
      </c>
      <c r="K3" s="15" t="s">
        <v>17</v>
      </c>
      <c r="L3" s="10" t="s">
        <v>18</v>
      </c>
      <c r="M3" s="14" t="s">
        <v>19</v>
      </c>
      <c r="N3" s="12" t="s">
        <v>20</v>
      </c>
      <c r="O3" s="13" t="s">
        <v>21</v>
      </c>
      <c r="P3" s="12"/>
      <c r="Q3" s="12"/>
      <c r="R3" s="12"/>
      <c r="S3" s="12"/>
      <c r="T3" s="12"/>
    </row>
    <row r="4" ht="23" customHeight="1" spans="1:20">
      <c r="A4" s="16" t="s">
        <v>22</v>
      </c>
      <c r="B4" s="17" t="s">
        <v>23</v>
      </c>
      <c r="C4" s="18"/>
      <c r="D4" s="19"/>
      <c r="E4" s="13"/>
      <c r="F4" s="15"/>
      <c r="G4" s="15"/>
      <c r="H4" s="15"/>
      <c r="I4" s="15"/>
      <c r="J4" s="15"/>
      <c r="K4" s="15"/>
      <c r="L4" s="10"/>
      <c r="M4" s="14"/>
      <c r="N4" s="12"/>
      <c r="O4" s="13"/>
      <c r="P4" s="12"/>
      <c r="Q4" s="12"/>
      <c r="R4" s="12"/>
      <c r="S4" s="12"/>
      <c r="T4" s="12"/>
    </row>
    <row r="5" ht="54" customHeight="1" spans="1:20">
      <c r="A5" s="10">
        <v>1</v>
      </c>
      <c r="B5" s="20" t="s">
        <v>24</v>
      </c>
      <c r="C5" s="21" t="s">
        <v>25</v>
      </c>
      <c r="D5" s="10" t="s">
        <v>26</v>
      </c>
      <c r="E5" s="14">
        <f>1332.52+174.3</f>
        <v>1506.82</v>
      </c>
      <c r="F5" s="14">
        <f>309.31+721.72</f>
        <v>1031.03</v>
      </c>
      <c r="G5" s="14">
        <f>293.11+398.97</f>
        <v>692.08</v>
      </c>
      <c r="H5" s="14">
        <f>1725.85+304.15</f>
        <v>2030</v>
      </c>
      <c r="I5" s="14">
        <f>1928.25+343.08</f>
        <v>2271.33</v>
      </c>
      <c r="J5" s="14"/>
      <c r="K5" s="14"/>
      <c r="L5" s="10"/>
      <c r="M5" s="14"/>
      <c r="N5" s="10"/>
      <c r="O5" s="14">
        <f t="shared" ref="O5:O10" si="0">SUM(E5:N5)</f>
        <v>7531.26</v>
      </c>
      <c r="P5" s="10"/>
      <c r="Q5" s="10"/>
      <c r="R5" s="10"/>
      <c r="S5" s="22">
        <f t="shared" ref="S5:S10" si="1">P5+Q5+R5</f>
        <v>0</v>
      </c>
      <c r="T5" s="22">
        <f t="shared" ref="T5:T10" si="2">O5*S5</f>
        <v>0</v>
      </c>
    </row>
    <row r="6" ht="53" customHeight="1" spans="1:20">
      <c r="A6" s="10">
        <v>2</v>
      </c>
      <c r="B6" s="20" t="s">
        <v>27</v>
      </c>
      <c r="C6" s="21" t="s">
        <v>28</v>
      </c>
      <c r="D6" s="10" t="s">
        <v>26</v>
      </c>
      <c r="E6" s="14">
        <v>477.03</v>
      </c>
      <c r="F6" s="14">
        <f>830.99+2539.83+308.46+136.65</f>
        <v>3815.93</v>
      </c>
      <c r="G6" s="14">
        <f>67.3+265.84</f>
        <v>333.14</v>
      </c>
      <c r="H6" s="14">
        <v>641</v>
      </c>
      <c r="I6" s="14">
        <f>811.16+240</f>
        <v>1051.16</v>
      </c>
      <c r="J6" s="14">
        <f>12.69+66.89</f>
        <v>79.58</v>
      </c>
      <c r="K6" s="14">
        <f>12.69+61.3</f>
        <v>73.99</v>
      </c>
      <c r="L6" s="10">
        <f>29.52+91.56</f>
        <v>121.08</v>
      </c>
      <c r="M6" s="14"/>
      <c r="N6" s="10"/>
      <c r="O6" s="14">
        <f t="shared" si="0"/>
        <v>6592.91</v>
      </c>
      <c r="P6" s="10"/>
      <c r="Q6" s="10"/>
      <c r="R6" s="10"/>
      <c r="S6" s="22">
        <f t="shared" si="1"/>
        <v>0</v>
      </c>
      <c r="T6" s="22">
        <f t="shared" si="2"/>
        <v>0</v>
      </c>
    </row>
    <row r="7" ht="84" customHeight="1" spans="1:20">
      <c r="A7" s="10">
        <v>3</v>
      </c>
      <c r="B7" s="20" t="s">
        <v>27</v>
      </c>
      <c r="C7" s="21" t="s">
        <v>29</v>
      </c>
      <c r="D7" s="10" t="s">
        <v>26</v>
      </c>
      <c r="E7" s="14">
        <v>458.32</v>
      </c>
      <c r="F7" s="14"/>
      <c r="G7" s="14">
        <f>482.85+146.68+347.72</f>
        <v>977.25</v>
      </c>
      <c r="H7" s="14">
        <f>3286.64+142</f>
        <v>3428.64</v>
      </c>
      <c r="I7" s="14"/>
      <c r="J7" s="14"/>
      <c r="K7" s="14"/>
      <c r="L7" s="10"/>
      <c r="M7" s="14"/>
      <c r="N7" s="10"/>
      <c r="O7" s="14">
        <f t="shared" si="0"/>
        <v>4864.21</v>
      </c>
      <c r="P7" s="10"/>
      <c r="Q7" s="10"/>
      <c r="R7" s="10"/>
      <c r="S7" s="22">
        <f t="shared" si="1"/>
        <v>0</v>
      </c>
      <c r="T7" s="22">
        <f t="shared" si="2"/>
        <v>0</v>
      </c>
    </row>
    <row r="8" ht="45" customHeight="1" spans="1:20">
      <c r="A8" s="10">
        <v>4</v>
      </c>
      <c r="B8" s="23" t="s">
        <v>30</v>
      </c>
      <c r="C8" s="24" t="s">
        <v>31</v>
      </c>
      <c r="D8" s="25" t="s">
        <v>26</v>
      </c>
      <c r="E8" s="25"/>
      <c r="F8" s="14">
        <f>293.1+8.1</f>
        <v>301.2</v>
      </c>
      <c r="G8" s="14"/>
      <c r="H8" s="14"/>
      <c r="I8" s="14"/>
      <c r="J8" s="14"/>
      <c r="K8" s="14"/>
      <c r="L8" s="10"/>
      <c r="M8" s="14"/>
      <c r="N8" s="12"/>
      <c r="O8" s="14">
        <f t="shared" si="0"/>
        <v>301.2</v>
      </c>
      <c r="P8" s="12"/>
      <c r="Q8" s="12"/>
      <c r="R8" s="12"/>
      <c r="S8" s="22">
        <f t="shared" si="1"/>
        <v>0</v>
      </c>
      <c r="T8" s="22">
        <f t="shared" si="2"/>
        <v>0</v>
      </c>
    </row>
    <row r="9" ht="53" customHeight="1" spans="1:20">
      <c r="A9" s="10">
        <v>5</v>
      </c>
      <c r="B9" s="23" t="s">
        <v>32</v>
      </c>
      <c r="C9" s="24" t="s">
        <v>33</v>
      </c>
      <c r="D9" s="25" t="s">
        <v>26</v>
      </c>
      <c r="E9" s="13"/>
      <c r="F9" s="14">
        <v>1042.91</v>
      </c>
      <c r="G9" s="14"/>
      <c r="H9" s="14"/>
      <c r="I9" s="14"/>
      <c r="J9" s="14"/>
      <c r="K9" s="14"/>
      <c r="L9" s="10"/>
      <c r="M9" s="14"/>
      <c r="N9" s="12"/>
      <c r="O9" s="14">
        <f t="shared" si="0"/>
        <v>1042.91</v>
      </c>
      <c r="P9" s="12"/>
      <c r="Q9" s="12"/>
      <c r="R9" s="12"/>
      <c r="S9" s="22">
        <f t="shared" si="1"/>
        <v>0</v>
      </c>
      <c r="T9" s="22">
        <f t="shared" si="2"/>
        <v>0</v>
      </c>
    </row>
    <row r="10" ht="40" customHeight="1" spans="1:20">
      <c r="A10" s="10">
        <v>6</v>
      </c>
      <c r="B10" s="23" t="s">
        <v>34</v>
      </c>
      <c r="C10" s="24" t="s">
        <v>35</v>
      </c>
      <c r="D10" s="25" t="s">
        <v>26</v>
      </c>
      <c r="E10" s="13"/>
      <c r="F10" s="14">
        <v>58.6</v>
      </c>
      <c r="G10" s="14"/>
      <c r="H10" s="14"/>
      <c r="I10" s="14"/>
      <c r="J10" s="14"/>
      <c r="K10" s="14"/>
      <c r="L10" s="10"/>
      <c r="M10" s="14"/>
      <c r="N10" s="12"/>
      <c r="O10" s="14">
        <f t="shared" si="0"/>
        <v>58.6</v>
      </c>
      <c r="P10" s="12"/>
      <c r="Q10" s="12"/>
      <c r="R10" s="12"/>
      <c r="S10" s="22">
        <f t="shared" si="1"/>
        <v>0</v>
      </c>
      <c r="T10" s="22">
        <f t="shared" si="2"/>
        <v>0</v>
      </c>
    </row>
    <row r="11" ht="72" customHeight="1" spans="1:20">
      <c r="A11" s="10">
        <v>7</v>
      </c>
      <c r="B11" s="23" t="s">
        <v>36</v>
      </c>
      <c r="C11" s="24" t="s">
        <v>37</v>
      </c>
      <c r="D11" s="25" t="s">
        <v>26</v>
      </c>
      <c r="E11" s="13"/>
      <c r="F11" s="14"/>
      <c r="G11" s="14">
        <v>42.99</v>
      </c>
      <c r="H11" s="14">
        <v>5.85</v>
      </c>
      <c r="I11" s="14"/>
      <c r="J11" s="14"/>
      <c r="K11" s="14"/>
      <c r="L11" s="10"/>
      <c r="M11" s="14"/>
      <c r="N11" s="12"/>
      <c r="O11" s="14">
        <f t="shared" ref="O11:O15" si="3">SUM(E11:N11)</f>
        <v>48.84</v>
      </c>
      <c r="P11" s="12"/>
      <c r="Q11" s="12"/>
      <c r="R11" s="12"/>
      <c r="S11" s="22">
        <f t="shared" ref="S11:S15" si="4">P11+Q11+R11</f>
        <v>0</v>
      </c>
      <c r="T11" s="22">
        <f t="shared" ref="T11:T15" si="5">O11*S11</f>
        <v>0</v>
      </c>
    </row>
    <row r="12" ht="36" spans="1:20">
      <c r="A12" s="10">
        <v>8</v>
      </c>
      <c r="B12" s="20" t="s">
        <v>38</v>
      </c>
      <c r="C12" s="21" t="s">
        <v>39</v>
      </c>
      <c r="D12" s="10" t="s">
        <v>26</v>
      </c>
      <c r="E12" s="14">
        <f>61.81+1441.51+4950.03</f>
        <v>6453.35</v>
      </c>
      <c r="F12" s="14">
        <v>149.22</v>
      </c>
      <c r="G12" s="14"/>
      <c r="H12" s="14">
        <f>265.16+873.41+6438.59</f>
        <v>7577.16</v>
      </c>
      <c r="I12" s="14">
        <f>476.11+9961.83</f>
        <v>10437.94</v>
      </c>
      <c r="J12" s="14"/>
      <c r="K12" s="14"/>
      <c r="L12" s="10"/>
      <c r="M12" s="14"/>
      <c r="N12" s="12"/>
      <c r="O12" s="14">
        <f t="shared" si="3"/>
        <v>24617.67</v>
      </c>
      <c r="P12" s="12"/>
      <c r="Q12" s="12"/>
      <c r="R12" s="12"/>
      <c r="S12" s="22">
        <f t="shared" si="4"/>
        <v>0</v>
      </c>
      <c r="T12" s="22">
        <f t="shared" si="5"/>
        <v>0</v>
      </c>
    </row>
    <row r="13" ht="36" customHeight="1" spans="1:20">
      <c r="A13" s="10">
        <v>9</v>
      </c>
      <c r="B13" s="20" t="s">
        <v>40</v>
      </c>
      <c r="C13" s="21" t="s">
        <v>41</v>
      </c>
      <c r="D13" s="10" t="s">
        <v>26</v>
      </c>
      <c r="E13" s="14">
        <v>213.79</v>
      </c>
      <c r="F13" s="14"/>
      <c r="G13" s="14">
        <v>25.34</v>
      </c>
      <c r="H13" s="14">
        <v>236.25</v>
      </c>
      <c r="I13" s="14">
        <v>323.23</v>
      </c>
      <c r="J13" s="14"/>
      <c r="K13" s="14"/>
      <c r="L13" s="10"/>
      <c r="M13" s="14"/>
      <c r="N13" s="12"/>
      <c r="O13" s="14">
        <f t="shared" si="3"/>
        <v>798.61</v>
      </c>
      <c r="P13" s="12"/>
      <c r="Q13" s="12"/>
      <c r="R13" s="12"/>
      <c r="S13" s="22">
        <f t="shared" si="4"/>
        <v>0</v>
      </c>
      <c r="T13" s="22">
        <f t="shared" si="5"/>
        <v>0</v>
      </c>
    </row>
    <row r="14" ht="24" spans="1:20">
      <c r="A14" s="10">
        <v>10</v>
      </c>
      <c r="B14" s="20" t="s">
        <v>42</v>
      </c>
      <c r="C14" s="21" t="s">
        <v>43</v>
      </c>
      <c r="D14" s="10" t="s">
        <v>26</v>
      </c>
      <c r="E14" s="14">
        <f>213.89+248.48</f>
        <v>462.37</v>
      </c>
      <c r="F14" s="14"/>
      <c r="G14" s="14">
        <f>123.54+123.54</f>
        <v>247.08</v>
      </c>
      <c r="H14" s="14">
        <f>480.01+723.44</f>
        <v>1203.45</v>
      </c>
      <c r="I14" s="14">
        <v>846.03</v>
      </c>
      <c r="J14" s="14"/>
      <c r="K14" s="14"/>
      <c r="L14" s="10"/>
      <c r="M14" s="14"/>
      <c r="N14" s="12"/>
      <c r="O14" s="14">
        <f t="shared" si="3"/>
        <v>2758.93</v>
      </c>
      <c r="P14" s="12"/>
      <c r="Q14" s="12"/>
      <c r="R14" s="12"/>
      <c r="S14" s="22">
        <f t="shared" si="4"/>
        <v>0</v>
      </c>
      <c r="T14" s="22">
        <f t="shared" si="5"/>
        <v>0</v>
      </c>
    </row>
    <row r="15" ht="66" customHeight="1" spans="1:20">
      <c r="A15" s="10">
        <v>11</v>
      </c>
      <c r="B15" s="23" t="s">
        <v>44</v>
      </c>
      <c r="C15" s="24" t="s">
        <v>45</v>
      </c>
      <c r="D15" s="25" t="s">
        <v>26</v>
      </c>
      <c r="E15" s="13"/>
      <c r="F15" s="25">
        <v>1761.88</v>
      </c>
      <c r="G15" s="14"/>
      <c r="H15" s="14"/>
      <c r="I15" s="14"/>
      <c r="J15" s="14"/>
      <c r="K15" s="14"/>
      <c r="L15" s="10"/>
      <c r="M15" s="14"/>
      <c r="N15" s="12"/>
      <c r="O15" s="14">
        <f t="shared" si="3"/>
        <v>1761.88</v>
      </c>
      <c r="P15" s="12"/>
      <c r="Q15" s="12"/>
      <c r="R15" s="12"/>
      <c r="S15" s="22">
        <f t="shared" si="4"/>
        <v>0</v>
      </c>
      <c r="T15" s="22">
        <f t="shared" si="5"/>
        <v>0</v>
      </c>
    </row>
    <row r="16" ht="36" spans="1:20">
      <c r="A16" s="10">
        <v>12</v>
      </c>
      <c r="B16" s="20" t="s">
        <v>46</v>
      </c>
      <c r="C16" s="21" t="s">
        <v>47</v>
      </c>
      <c r="D16" s="10" t="s">
        <v>26</v>
      </c>
      <c r="E16" s="14">
        <v>483.8</v>
      </c>
      <c r="F16" s="14"/>
      <c r="G16" s="14">
        <f>842.53+2536.05</f>
        <v>3378.58</v>
      </c>
      <c r="H16" s="14"/>
      <c r="I16" s="14">
        <v>325.58</v>
      </c>
      <c r="J16" s="14"/>
      <c r="K16" s="14"/>
      <c r="L16" s="10"/>
      <c r="M16" s="14"/>
      <c r="N16" s="12"/>
      <c r="O16" s="14">
        <f t="shared" ref="O16:O22" si="6">SUM(E16:N16)</f>
        <v>4187.96</v>
      </c>
      <c r="P16" s="12"/>
      <c r="Q16" s="12"/>
      <c r="R16" s="12"/>
      <c r="S16" s="22">
        <f t="shared" ref="S16:S22" si="7">P16+Q16+R16</f>
        <v>0</v>
      </c>
      <c r="T16" s="22">
        <f t="shared" ref="T16:T22" si="8">O16*S16</f>
        <v>0</v>
      </c>
    </row>
    <row r="17" ht="36" spans="1:20">
      <c r="A17" s="10">
        <v>13</v>
      </c>
      <c r="B17" s="20" t="s">
        <v>48</v>
      </c>
      <c r="C17" s="21" t="s">
        <v>49</v>
      </c>
      <c r="D17" s="10" t="s">
        <v>26</v>
      </c>
      <c r="E17" s="14">
        <f>20.99+6.15</f>
        <v>27.14</v>
      </c>
      <c r="F17" s="14">
        <f>5.78+1.98</f>
        <v>7.76</v>
      </c>
      <c r="G17" s="14">
        <f>4.7+0.88</f>
        <v>5.58</v>
      </c>
      <c r="H17" s="14">
        <f>44.58+19.36</f>
        <v>63.94</v>
      </c>
      <c r="I17" s="14">
        <f>62.09+7.66</f>
        <v>69.75</v>
      </c>
      <c r="J17" s="14"/>
      <c r="K17" s="14"/>
      <c r="L17" s="10"/>
      <c r="M17" s="14"/>
      <c r="N17" s="12"/>
      <c r="O17" s="14">
        <f t="shared" si="6"/>
        <v>174.17</v>
      </c>
      <c r="P17" s="12"/>
      <c r="Q17" s="12"/>
      <c r="R17" s="12"/>
      <c r="S17" s="22">
        <f t="shared" si="7"/>
        <v>0</v>
      </c>
      <c r="T17" s="22">
        <f t="shared" si="8"/>
        <v>0</v>
      </c>
    </row>
    <row r="18" ht="25" customHeight="1" spans="1:20">
      <c r="A18" s="10">
        <v>14</v>
      </c>
      <c r="B18" s="20" t="s">
        <v>50</v>
      </c>
      <c r="C18" s="21" t="s">
        <v>51</v>
      </c>
      <c r="D18" s="10" t="s">
        <v>26</v>
      </c>
      <c r="E18" s="14">
        <v>21.06</v>
      </c>
      <c r="F18" s="14">
        <v>5.82</v>
      </c>
      <c r="G18" s="14">
        <v>17.9</v>
      </c>
      <c r="H18" s="14">
        <v>10</v>
      </c>
      <c r="I18" s="14">
        <v>219.18</v>
      </c>
      <c r="J18" s="14"/>
      <c r="K18" s="14"/>
      <c r="L18" s="10"/>
      <c r="M18" s="14"/>
      <c r="N18" s="12"/>
      <c r="O18" s="14">
        <f t="shared" si="6"/>
        <v>273.96</v>
      </c>
      <c r="P18" s="12"/>
      <c r="Q18" s="12"/>
      <c r="R18" s="12"/>
      <c r="S18" s="22">
        <f t="shared" si="7"/>
        <v>0</v>
      </c>
      <c r="T18" s="22">
        <f t="shared" si="8"/>
        <v>0</v>
      </c>
    </row>
    <row r="19" ht="21" customHeight="1" spans="1:20">
      <c r="A19" s="10">
        <v>15</v>
      </c>
      <c r="B19" s="20" t="s">
        <v>52</v>
      </c>
      <c r="C19" s="21" t="s">
        <v>53</v>
      </c>
      <c r="D19" s="10" t="s">
        <v>26</v>
      </c>
      <c r="E19" s="14">
        <v>168.48</v>
      </c>
      <c r="F19" s="14">
        <v>1</v>
      </c>
      <c r="G19" s="14">
        <v>7.4</v>
      </c>
      <c r="H19" s="14">
        <v>129.67</v>
      </c>
      <c r="I19" s="14">
        <v>1</v>
      </c>
      <c r="J19" s="14"/>
      <c r="K19" s="14"/>
      <c r="L19" s="10"/>
      <c r="M19" s="14"/>
      <c r="N19" s="12"/>
      <c r="O19" s="14">
        <f t="shared" si="6"/>
        <v>307.55</v>
      </c>
      <c r="P19" s="12"/>
      <c r="Q19" s="12"/>
      <c r="R19" s="12"/>
      <c r="S19" s="22">
        <f t="shared" si="7"/>
        <v>0</v>
      </c>
      <c r="T19" s="22">
        <f t="shared" si="8"/>
        <v>0</v>
      </c>
    </row>
    <row r="20" ht="22" customHeight="1" spans="1:20">
      <c r="A20" s="10">
        <v>16</v>
      </c>
      <c r="B20" s="20" t="s">
        <v>54</v>
      </c>
      <c r="C20" s="21" t="s">
        <v>55</v>
      </c>
      <c r="D20" s="10" t="s">
        <v>26</v>
      </c>
      <c r="E20" s="14">
        <v>21.06</v>
      </c>
      <c r="F20" s="14">
        <v>36.37</v>
      </c>
      <c r="G20" s="14">
        <v>59.17</v>
      </c>
      <c r="H20" s="14">
        <v>10</v>
      </c>
      <c r="I20" s="14">
        <v>9.76</v>
      </c>
      <c r="J20" s="14"/>
      <c r="K20" s="14"/>
      <c r="L20" s="10"/>
      <c r="M20" s="14"/>
      <c r="N20" s="12"/>
      <c r="O20" s="14">
        <f t="shared" si="6"/>
        <v>136.36</v>
      </c>
      <c r="P20" s="12"/>
      <c r="Q20" s="12"/>
      <c r="R20" s="12"/>
      <c r="S20" s="22">
        <f t="shared" si="7"/>
        <v>0</v>
      </c>
      <c r="T20" s="22">
        <f t="shared" si="8"/>
        <v>0</v>
      </c>
    </row>
    <row r="21" ht="39" customHeight="1" spans="1:20">
      <c r="A21" s="10">
        <v>17</v>
      </c>
      <c r="B21" s="26" t="s">
        <v>56</v>
      </c>
      <c r="C21" s="27" t="s">
        <v>57</v>
      </c>
      <c r="D21" s="26" t="s">
        <v>26</v>
      </c>
      <c r="E21" s="14"/>
      <c r="F21" s="14"/>
      <c r="G21" s="14">
        <v>76.19</v>
      </c>
      <c r="H21" s="14">
        <v>245.8</v>
      </c>
      <c r="I21" s="14"/>
      <c r="J21" s="14"/>
      <c r="K21" s="14"/>
      <c r="L21" s="10"/>
      <c r="M21" s="14"/>
      <c r="N21" s="12"/>
      <c r="O21" s="14">
        <f t="shared" si="6"/>
        <v>321.99</v>
      </c>
      <c r="P21" s="12"/>
      <c r="Q21" s="12"/>
      <c r="R21" s="12"/>
      <c r="S21" s="22">
        <f t="shared" si="7"/>
        <v>0</v>
      </c>
      <c r="T21" s="22">
        <f t="shared" si="8"/>
        <v>0</v>
      </c>
    </row>
    <row r="22" ht="60" spans="1:20">
      <c r="A22" s="10">
        <v>18</v>
      </c>
      <c r="B22" s="20" t="s">
        <v>58</v>
      </c>
      <c r="C22" s="21" t="s">
        <v>59</v>
      </c>
      <c r="D22" s="10" t="s">
        <v>26</v>
      </c>
      <c r="E22" s="14">
        <f>7366.38+1784.09</f>
        <v>9150.47</v>
      </c>
      <c r="F22" s="14">
        <f>19.36+62.09</f>
        <v>81.45</v>
      </c>
      <c r="G22" s="14">
        <f>3754.35+207.89</f>
        <v>3962.24</v>
      </c>
      <c r="H22" s="14">
        <f>13012.95+980.68</f>
        <v>13993.63</v>
      </c>
      <c r="I22" s="14">
        <f>14177.96+188.23</f>
        <v>14366.19</v>
      </c>
      <c r="J22" s="14">
        <f>440.54+58.24</f>
        <v>498.78</v>
      </c>
      <c r="K22" s="14">
        <f>440.54+52.87</f>
        <v>493.41</v>
      </c>
      <c r="L22" s="10">
        <f>190.01</f>
        <v>190.01</v>
      </c>
      <c r="M22" s="14"/>
      <c r="N22" s="12"/>
      <c r="O22" s="14">
        <f t="shared" si="6"/>
        <v>42736.18</v>
      </c>
      <c r="P22" s="12"/>
      <c r="Q22" s="12"/>
      <c r="R22" s="12"/>
      <c r="S22" s="22">
        <f t="shared" si="7"/>
        <v>0</v>
      </c>
      <c r="T22" s="22">
        <f t="shared" si="8"/>
        <v>0</v>
      </c>
    </row>
    <row r="23" ht="36" spans="1:20">
      <c r="A23" s="10">
        <v>19</v>
      </c>
      <c r="B23" s="20" t="s">
        <v>60</v>
      </c>
      <c r="C23" s="21" t="s">
        <v>61</v>
      </c>
      <c r="D23" s="10" t="s">
        <v>26</v>
      </c>
      <c r="E23" s="14">
        <v>1288.26</v>
      </c>
      <c r="F23" s="14"/>
      <c r="G23" s="14"/>
      <c r="H23" s="14">
        <v>1414.58</v>
      </c>
      <c r="I23" s="14">
        <v>1632.73</v>
      </c>
      <c r="J23" s="14"/>
      <c r="K23" s="14"/>
      <c r="L23" s="10"/>
      <c r="M23" s="14"/>
      <c r="N23" s="12"/>
      <c r="O23" s="14">
        <f t="shared" ref="O23:O28" si="9">SUM(E23:N23)</f>
        <v>4335.57</v>
      </c>
      <c r="P23" s="12"/>
      <c r="Q23" s="12"/>
      <c r="R23" s="12"/>
      <c r="S23" s="22">
        <f t="shared" ref="S23:S28" si="10">P23+Q23+R23</f>
        <v>0</v>
      </c>
      <c r="T23" s="22">
        <f t="shared" ref="T23:T28" si="11">O23*S23</f>
        <v>0</v>
      </c>
    </row>
    <row r="24" ht="24" spans="1:20">
      <c r="A24" s="10">
        <v>20</v>
      </c>
      <c r="B24" s="20" t="s">
        <v>60</v>
      </c>
      <c r="C24" s="21" t="s">
        <v>62</v>
      </c>
      <c r="D24" s="10" t="s">
        <v>26</v>
      </c>
      <c r="E24" s="14">
        <v>2137</v>
      </c>
      <c r="F24" s="14"/>
      <c r="G24" s="14"/>
      <c r="H24" s="14">
        <v>1272.86</v>
      </c>
      <c r="I24" s="14">
        <v>1762.95</v>
      </c>
      <c r="J24" s="14"/>
      <c r="K24" s="14"/>
      <c r="L24" s="10"/>
      <c r="M24" s="14"/>
      <c r="N24" s="12"/>
      <c r="O24" s="14">
        <f t="shared" si="9"/>
        <v>5172.81</v>
      </c>
      <c r="P24" s="12"/>
      <c r="Q24" s="12"/>
      <c r="R24" s="12"/>
      <c r="S24" s="22">
        <f t="shared" si="10"/>
        <v>0</v>
      </c>
      <c r="T24" s="22">
        <f t="shared" si="11"/>
        <v>0</v>
      </c>
    </row>
    <row r="25" ht="81" customHeight="1" spans="1:20">
      <c r="A25" s="10">
        <v>21</v>
      </c>
      <c r="B25" s="20" t="s">
        <v>63</v>
      </c>
      <c r="C25" s="21" t="s">
        <v>64</v>
      </c>
      <c r="D25" s="10" t="s">
        <v>26</v>
      </c>
      <c r="E25" s="14">
        <v>6428.67</v>
      </c>
      <c r="F25" s="14">
        <v>6127.24</v>
      </c>
      <c r="G25" s="14">
        <v>3430</v>
      </c>
      <c r="H25" s="14">
        <v>13448.82</v>
      </c>
      <c r="I25" s="14">
        <v>9911.7</v>
      </c>
      <c r="J25" s="14">
        <v>115.49</v>
      </c>
      <c r="K25" s="14">
        <v>115.49</v>
      </c>
      <c r="L25" s="10">
        <v>156.9</v>
      </c>
      <c r="M25" s="14"/>
      <c r="N25" s="12"/>
      <c r="O25" s="14">
        <f t="shared" si="9"/>
        <v>39734.31</v>
      </c>
      <c r="P25" s="12"/>
      <c r="Q25" s="12"/>
      <c r="R25" s="12"/>
      <c r="S25" s="22">
        <f t="shared" si="10"/>
        <v>0</v>
      </c>
      <c r="T25" s="22">
        <f t="shared" si="11"/>
        <v>0</v>
      </c>
    </row>
    <row r="26" ht="56" customHeight="1" spans="1:20">
      <c r="A26" s="10">
        <v>22</v>
      </c>
      <c r="B26" s="20" t="s">
        <v>65</v>
      </c>
      <c r="C26" s="21" t="s">
        <v>66</v>
      </c>
      <c r="D26" s="10" t="s">
        <v>26</v>
      </c>
      <c r="E26" s="14">
        <f>1213.89+102.27</f>
        <v>1316.16</v>
      </c>
      <c r="F26" s="14">
        <v>38.72</v>
      </c>
      <c r="G26" s="14">
        <f>406.11</f>
        <v>406.11</v>
      </c>
      <c r="H26" s="14">
        <f>415.82+113.8+408.12</f>
        <v>937.74</v>
      </c>
      <c r="I26" s="14">
        <v>104.24</v>
      </c>
      <c r="J26" s="14"/>
      <c r="K26" s="14"/>
      <c r="L26" s="10"/>
      <c r="M26" s="14"/>
      <c r="N26" s="12"/>
      <c r="O26" s="14">
        <f t="shared" si="9"/>
        <v>2802.97</v>
      </c>
      <c r="P26" s="12"/>
      <c r="Q26" s="12"/>
      <c r="R26" s="12"/>
      <c r="S26" s="22">
        <f t="shared" si="10"/>
        <v>0</v>
      </c>
      <c r="T26" s="22">
        <f t="shared" si="11"/>
        <v>0</v>
      </c>
    </row>
    <row r="27" ht="59" customHeight="1" spans="1:20">
      <c r="A27" s="10">
        <v>23</v>
      </c>
      <c r="B27" s="20" t="s">
        <v>67</v>
      </c>
      <c r="C27" s="21" t="s">
        <v>68</v>
      </c>
      <c r="D27" s="10" t="s">
        <v>26</v>
      </c>
      <c r="E27" s="14">
        <v>1834.67</v>
      </c>
      <c r="F27" s="14">
        <v>1082.61</v>
      </c>
      <c r="G27" s="14">
        <v>241.22</v>
      </c>
      <c r="H27" s="14">
        <v>2189.65</v>
      </c>
      <c r="I27" s="14">
        <v>2175.28</v>
      </c>
      <c r="J27" s="14">
        <v>50.5</v>
      </c>
      <c r="K27" s="14">
        <v>50.5</v>
      </c>
      <c r="L27" s="10">
        <v>83.42</v>
      </c>
      <c r="M27" s="14"/>
      <c r="N27" s="12"/>
      <c r="O27" s="14">
        <f t="shared" si="9"/>
        <v>7707.85</v>
      </c>
      <c r="P27" s="12"/>
      <c r="Q27" s="12"/>
      <c r="R27" s="12"/>
      <c r="S27" s="22">
        <f t="shared" si="10"/>
        <v>0</v>
      </c>
      <c r="T27" s="22">
        <f t="shared" si="11"/>
        <v>0</v>
      </c>
    </row>
    <row r="28" s="1" customFormat="1" ht="70" customHeight="1" spans="1:20">
      <c r="A28" s="28">
        <v>24</v>
      </c>
      <c r="B28" s="29" t="s">
        <v>69</v>
      </c>
      <c r="C28" s="29" t="s">
        <v>70</v>
      </c>
      <c r="D28" s="30" t="s">
        <v>26</v>
      </c>
      <c r="E28" s="31"/>
      <c r="F28" s="31"/>
      <c r="G28" s="31">
        <v>1339.56</v>
      </c>
      <c r="H28" s="31"/>
      <c r="I28" s="31"/>
      <c r="J28" s="31"/>
      <c r="K28" s="31"/>
      <c r="L28" s="28"/>
      <c r="M28" s="31"/>
      <c r="N28" s="32"/>
      <c r="O28" s="31">
        <f t="shared" si="9"/>
        <v>1339.56</v>
      </c>
      <c r="P28" s="32"/>
      <c r="Q28" s="32"/>
      <c r="R28" s="32"/>
      <c r="S28" s="33">
        <f t="shared" si="10"/>
        <v>0</v>
      </c>
      <c r="T28" s="33">
        <f t="shared" si="11"/>
        <v>0</v>
      </c>
    </row>
    <row r="29" ht="59" customHeight="1" spans="1:20">
      <c r="A29" s="10">
        <v>25</v>
      </c>
      <c r="B29" s="23" t="s">
        <v>71</v>
      </c>
      <c r="C29" s="24" t="s">
        <v>72</v>
      </c>
      <c r="D29" s="25" t="s">
        <v>26</v>
      </c>
      <c r="E29" s="13"/>
      <c r="F29" s="14">
        <v>207.79</v>
      </c>
      <c r="G29" s="14"/>
      <c r="H29" s="14"/>
      <c r="I29" s="14"/>
      <c r="J29" s="14"/>
      <c r="K29" s="14"/>
      <c r="L29" s="10"/>
      <c r="M29" s="14"/>
      <c r="N29" s="12"/>
      <c r="O29" s="14">
        <f t="shared" ref="O29:O34" si="12">SUM(E29:N29)</f>
        <v>207.79</v>
      </c>
      <c r="P29" s="12"/>
      <c r="Q29" s="12"/>
      <c r="R29" s="12"/>
      <c r="S29" s="22">
        <f t="shared" ref="S29:S34" si="13">P29+Q29+R29</f>
        <v>0</v>
      </c>
      <c r="T29" s="22">
        <f t="shared" ref="T29:T34" si="14">O29*S29</f>
        <v>0</v>
      </c>
    </row>
    <row r="30" ht="59" customHeight="1" spans="1:20">
      <c r="A30" s="10">
        <v>26</v>
      </c>
      <c r="B30" s="24" t="s">
        <v>73</v>
      </c>
      <c r="C30" s="24" t="s">
        <v>74</v>
      </c>
      <c r="D30" s="25" t="s">
        <v>26</v>
      </c>
      <c r="E30" s="13"/>
      <c r="F30" s="14"/>
      <c r="G30" s="14"/>
      <c r="H30" s="25">
        <v>36.87</v>
      </c>
      <c r="I30" s="14"/>
      <c r="J30" s="14"/>
      <c r="K30" s="14"/>
      <c r="L30" s="10"/>
      <c r="M30" s="14"/>
      <c r="N30" s="12"/>
      <c r="O30" s="14">
        <f t="shared" si="12"/>
        <v>36.87</v>
      </c>
      <c r="P30" s="12"/>
      <c r="Q30" s="12"/>
      <c r="R30" s="12"/>
      <c r="S30" s="22">
        <f t="shared" si="13"/>
        <v>0</v>
      </c>
      <c r="T30" s="22">
        <f t="shared" si="14"/>
        <v>0</v>
      </c>
    </row>
    <row r="31" ht="59" customHeight="1" spans="1:20">
      <c r="A31" s="10">
        <v>27</v>
      </c>
      <c r="B31" s="24" t="s">
        <v>75</v>
      </c>
      <c r="C31" s="24" t="s">
        <v>76</v>
      </c>
      <c r="D31" s="25" t="s">
        <v>26</v>
      </c>
      <c r="E31" s="13"/>
      <c r="F31" s="14"/>
      <c r="G31" s="14"/>
      <c r="H31" s="25">
        <v>16.13</v>
      </c>
      <c r="I31" s="14"/>
      <c r="J31" s="14"/>
      <c r="K31" s="14"/>
      <c r="L31" s="10"/>
      <c r="M31" s="14"/>
      <c r="N31" s="12"/>
      <c r="O31" s="14">
        <f t="shared" si="12"/>
        <v>16.13</v>
      </c>
      <c r="P31" s="12"/>
      <c r="Q31" s="12"/>
      <c r="R31" s="12"/>
      <c r="S31" s="22">
        <f t="shared" si="13"/>
        <v>0</v>
      </c>
      <c r="T31" s="22">
        <f t="shared" si="14"/>
        <v>0</v>
      </c>
    </row>
    <row r="32" ht="59" customHeight="1" spans="1:20">
      <c r="A32" s="10">
        <v>28</v>
      </c>
      <c r="B32" s="23" t="s">
        <v>77</v>
      </c>
      <c r="C32" s="24" t="s">
        <v>78</v>
      </c>
      <c r="D32" s="25" t="s">
        <v>26</v>
      </c>
      <c r="E32" s="13"/>
      <c r="F32" s="14">
        <v>407.38</v>
      </c>
      <c r="G32" s="14"/>
      <c r="H32" s="14"/>
      <c r="I32" s="14"/>
      <c r="J32" s="14"/>
      <c r="K32" s="14"/>
      <c r="L32" s="10"/>
      <c r="M32" s="14"/>
      <c r="N32" s="12"/>
      <c r="O32" s="14">
        <f t="shared" si="12"/>
        <v>407.38</v>
      </c>
      <c r="P32" s="12"/>
      <c r="Q32" s="12"/>
      <c r="R32" s="12"/>
      <c r="S32" s="22">
        <f t="shared" si="13"/>
        <v>0</v>
      </c>
      <c r="T32" s="22">
        <f t="shared" si="14"/>
        <v>0</v>
      </c>
    </row>
    <row r="33" ht="59" customHeight="1" spans="1:20">
      <c r="A33" s="10">
        <v>29</v>
      </c>
      <c r="B33" s="23" t="s">
        <v>77</v>
      </c>
      <c r="C33" s="24" t="s">
        <v>79</v>
      </c>
      <c r="D33" s="25" t="s">
        <v>26</v>
      </c>
      <c r="E33" s="13"/>
      <c r="F33" s="14">
        <v>886.93</v>
      </c>
      <c r="G33" s="14"/>
      <c r="H33" s="14"/>
      <c r="I33" s="14"/>
      <c r="J33" s="14"/>
      <c r="K33" s="14"/>
      <c r="L33" s="10"/>
      <c r="M33" s="14"/>
      <c r="N33" s="12"/>
      <c r="O33" s="14">
        <f t="shared" si="12"/>
        <v>886.93</v>
      </c>
      <c r="P33" s="12"/>
      <c r="Q33" s="12"/>
      <c r="R33" s="12"/>
      <c r="S33" s="22">
        <f t="shared" si="13"/>
        <v>0</v>
      </c>
      <c r="T33" s="22">
        <f t="shared" si="14"/>
        <v>0</v>
      </c>
    </row>
    <row r="34" ht="59" customHeight="1" spans="1:20">
      <c r="A34" s="10">
        <v>30</v>
      </c>
      <c r="B34" s="23" t="s">
        <v>80</v>
      </c>
      <c r="C34" s="24" t="s">
        <v>81</v>
      </c>
      <c r="D34" s="25" t="s">
        <v>26</v>
      </c>
      <c r="E34" s="13"/>
      <c r="F34" s="14">
        <v>318.58</v>
      </c>
      <c r="G34" s="14"/>
      <c r="H34" s="14"/>
      <c r="I34" s="14"/>
      <c r="J34" s="14"/>
      <c r="K34" s="14"/>
      <c r="L34" s="10"/>
      <c r="M34" s="14"/>
      <c r="N34" s="12"/>
      <c r="O34" s="14">
        <f t="shared" si="12"/>
        <v>318.58</v>
      </c>
      <c r="P34" s="12"/>
      <c r="Q34" s="12"/>
      <c r="R34" s="12"/>
      <c r="S34" s="22">
        <f t="shared" si="13"/>
        <v>0</v>
      </c>
      <c r="T34" s="22">
        <f t="shared" si="14"/>
        <v>0</v>
      </c>
    </row>
    <row r="35" ht="72" spans="1:20">
      <c r="A35" s="10">
        <v>31</v>
      </c>
      <c r="B35" s="20" t="s">
        <v>82</v>
      </c>
      <c r="C35" s="21" t="s">
        <v>83</v>
      </c>
      <c r="D35" s="10" t="s">
        <v>26</v>
      </c>
      <c r="E35" s="14">
        <v>1296.67</v>
      </c>
      <c r="F35" s="14">
        <v>1815.03</v>
      </c>
      <c r="G35" s="14">
        <v>4462.67</v>
      </c>
      <c r="H35" s="14">
        <v>301</v>
      </c>
      <c r="I35" s="14">
        <v>1168.08</v>
      </c>
      <c r="J35" s="14"/>
      <c r="K35" s="14"/>
      <c r="L35" s="10"/>
      <c r="M35" s="14"/>
      <c r="N35" s="12"/>
      <c r="O35" s="14">
        <f t="shared" ref="O35:O41" si="15">SUM(E35:N35)</f>
        <v>9043.45</v>
      </c>
      <c r="P35" s="12"/>
      <c r="Q35" s="12"/>
      <c r="R35" s="12"/>
      <c r="S35" s="22">
        <f t="shared" ref="S35:S41" si="16">P35+Q35+R35</f>
        <v>0</v>
      </c>
      <c r="T35" s="22">
        <f t="shared" ref="T35:T41" si="17">O35*S35</f>
        <v>0</v>
      </c>
    </row>
    <row r="36" ht="36" spans="1:20">
      <c r="A36" s="10">
        <v>32</v>
      </c>
      <c r="B36" s="20" t="s">
        <v>84</v>
      </c>
      <c r="C36" s="21" t="s">
        <v>85</v>
      </c>
      <c r="D36" s="10" t="s">
        <v>26</v>
      </c>
      <c r="E36" s="14">
        <v>1565.57</v>
      </c>
      <c r="F36" s="14"/>
      <c r="G36" s="14">
        <v>188.97</v>
      </c>
      <c r="H36" s="14">
        <v>603.19</v>
      </c>
      <c r="I36" s="14">
        <v>232.95</v>
      </c>
      <c r="J36" s="14"/>
      <c r="K36" s="14"/>
      <c r="L36" s="10"/>
      <c r="M36" s="14"/>
      <c r="N36" s="12"/>
      <c r="O36" s="14">
        <f t="shared" si="15"/>
        <v>2590.68</v>
      </c>
      <c r="P36" s="12"/>
      <c r="Q36" s="12"/>
      <c r="R36" s="12"/>
      <c r="S36" s="22">
        <f t="shared" si="16"/>
        <v>0</v>
      </c>
      <c r="T36" s="22">
        <f t="shared" si="17"/>
        <v>0</v>
      </c>
    </row>
    <row r="37" ht="36" spans="1:20">
      <c r="A37" s="10">
        <v>33</v>
      </c>
      <c r="B37" s="24" t="s">
        <v>86</v>
      </c>
      <c r="C37" s="24" t="s">
        <v>87</v>
      </c>
      <c r="D37" s="25" t="s">
        <v>26</v>
      </c>
      <c r="E37" s="14"/>
      <c r="F37" s="14"/>
      <c r="G37" s="25">
        <v>188.97</v>
      </c>
      <c r="H37" s="14"/>
      <c r="I37" s="14"/>
      <c r="J37" s="14"/>
      <c r="K37" s="14"/>
      <c r="L37" s="10"/>
      <c r="M37" s="14"/>
      <c r="N37" s="12"/>
      <c r="O37" s="14">
        <f t="shared" si="15"/>
        <v>188.97</v>
      </c>
      <c r="P37" s="12"/>
      <c r="Q37" s="12"/>
      <c r="R37" s="12"/>
      <c r="S37" s="22">
        <f t="shared" si="16"/>
        <v>0</v>
      </c>
      <c r="T37" s="22">
        <f t="shared" si="17"/>
        <v>0</v>
      </c>
    </row>
    <row r="38" ht="36" spans="1:20">
      <c r="A38" s="10">
        <v>34</v>
      </c>
      <c r="B38" s="24" t="s">
        <v>86</v>
      </c>
      <c r="C38" s="24" t="s">
        <v>88</v>
      </c>
      <c r="D38" s="25" t="s">
        <v>26</v>
      </c>
      <c r="E38" s="14"/>
      <c r="F38" s="14"/>
      <c r="G38" s="25">
        <v>188.97</v>
      </c>
      <c r="H38" s="14"/>
      <c r="I38" s="14"/>
      <c r="J38" s="14"/>
      <c r="K38" s="14"/>
      <c r="L38" s="10"/>
      <c r="M38" s="14"/>
      <c r="N38" s="12"/>
      <c r="O38" s="14">
        <f t="shared" si="15"/>
        <v>188.97</v>
      </c>
      <c r="P38" s="12"/>
      <c r="Q38" s="12"/>
      <c r="R38" s="12"/>
      <c r="S38" s="22">
        <f t="shared" si="16"/>
        <v>0</v>
      </c>
      <c r="T38" s="22">
        <f t="shared" si="17"/>
        <v>0</v>
      </c>
    </row>
    <row r="39" ht="36" spans="1:20">
      <c r="A39" s="10">
        <v>35</v>
      </c>
      <c r="B39" s="24" t="s">
        <v>86</v>
      </c>
      <c r="C39" s="24" t="s">
        <v>89</v>
      </c>
      <c r="D39" s="25" t="s">
        <v>26</v>
      </c>
      <c r="E39" s="14"/>
      <c r="F39" s="14"/>
      <c r="G39" s="25">
        <v>188.97</v>
      </c>
      <c r="H39" s="14"/>
      <c r="I39" s="14"/>
      <c r="J39" s="14"/>
      <c r="K39" s="14"/>
      <c r="L39" s="10"/>
      <c r="M39" s="14"/>
      <c r="N39" s="12"/>
      <c r="O39" s="14">
        <f t="shared" si="15"/>
        <v>188.97</v>
      </c>
      <c r="P39" s="12"/>
      <c r="Q39" s="12"/>
      <c r="R39" s="12"/>
      <c r="S39" s="22">
        <f t="shared" si="16"/>
        <v>0</v>
      </c>
      <c r="T39" s="22">
        <f t="shared" si="17"/>
        <v>0</v>
      </c>
    </row>
    <row r="40" ht="72" spans="1:20">
      <c r="A40" s="10">
        <v>36</v>
      </c>
      <c r="B40" s="20" t="s">
        <v>90</v>
      </c>
      <c r="C40" s="21" t="s">
        <v>91</v>
      </c>
      <c r="D40" s="10" t="s">
        <v>26</v>
      </c>
      <c r="E40" s="14">
        <v>12.34</v>
      </c>
      <c r="F40" s="14">
        <v>15</v>
      </c>
      <c r="G40" s="14"/>
      <c r="H40" s="14"/>
      <c r="I40" s="14">
        <v>13.1</v>
      </c>
      <c r="J40" s="14"/>
      <c r="K40" s="14"/>
      <c r="L40" s="10"/>
      <c r="M40" s="14"/>
      <c r="N40" s="12"/>
      <c r="O40" s="14">
        <f t="shared" si="15"/>
        <v>40.44</v>
      </c>
      <c r="P40" s="12"/>
      <c r="Q40" s="12"/>
      <c r="R40" s="12"/>
      <c r="S40" s="22">
        <f t="shared" si="16"/>
        <v>0</v>
      </c>
      <c r="T40" s="22">
        <f t="shared" si="17"/>
        <v>0</v>
      </c>
    </row>
    <row r="41" s="1" customFormat="1" ht="72" spans="1:20">
      <c r="A41" s="28">
        <v>37</v>
      </c>
      <c r="B41" s="29" t="s">
        <v>90</v>
      </c>
      <c r="C41" s="29" t="s">
        <v>91</v>
      </c>
      <c r="D41" s="30" t="s">
        <v>26</v>
      </c>
      <c r="E41" s="31"/>
      <c r="F41" s="31"/>
      <c r="G41" s="31">
        <v>36.8</v>
      </c>
      <c r="H41" s="31">
        <v>30</v>
      </c>
      <c r="I41" s="31"/>
      <c r="J41" s="31"/>
      <c r="K41" s="31"/>
      <c r="L41" s="28"/>
      <c r="M41" s="31"/>
      <c r="N41" s="32"/>
      <c r="O41" s="31">
        <f t="shared" si="15"/>
        <v>66.8</v>
      </c>
      <c r="P41" s="32"/>
      <c r="Q41" s="32"/>
      <c r="R41" s="32"/>
      <c r="S41" s="33">
        <f t="shared" si="16"/>
        <v>0</v>
      </c>
      <c r="T41" s="33">
        <f t="shared" si="17"/>
        <v>0</v>
      </c>
    </row>
    <row r="42" ht="24" spans="1:20">
      <c r="A42" s="10">
        <v>38</v>
      </c>
      <c r="B42" s="20" t="s">
        <v>92</v>
      </c>
      <c r="C42" s="21" t="s">
        <v>93</v>
      </c>
      <c r="D42" s="10" t="s">
        <v>26</v>
      </c>
      <c r="E42" s="14">
        <v>26.58</v>
      </c>
      <c r="F42" s="14">
        <v>32.41</v>
      </c>
      <c r="G42" s="14">
        <v>36</v>
      </c>
      <c r="H42" s="14">
        <v>75.89</v>
      </c>
      <c r="I42" s="14">
        <v>39.63</v>
      </c>
      <c r="J42" s="14">
        <v>1.6</v>
      </c>
      <c r="K42" s="14">
        <v>1.6</v>
      </c>
      <c r="L42" s="10"/>
      <c r="M42" s="14"/>
      <c r="N42" s="12"/>
      <c r="O42" s="14">
        <f t="shared" ref="O42:O47" si="18">SUM(E42:N42)</f>
        <v>213.71</v>
      </c>
      <c r="P42" s="12"/>
      <c r="Q42" s="12"/>
      <c r="R42" s="12"/>
      <c r="S42" s="22">
        <f t="shared" ref="S42:S47" si="19">P42+Q42+R42</f>
        <v>0</v>
      </c>
      <c r="T42" s="22">
        <f t="shared" ref="T42:T47" si="20">O42*S42</f>
        <v>0</v>
      </c>
    </row>
    <row r="43" ht="48" spans="1:20">
      <c r="A43" s="10">
        <v>39</v>
      </c>
      <c r="B43" s="20" t="s">
        <v>94</v>
      </c>
      <c r="C43" s="21" t="s">
        <v>95</v>
      </c>
      <c r="D43" s="10" t="s">
        <v>26</v>
      </c>
      <c r="E43" s="14">
        <v>78.7</v>
      </c>
      <c r="F43" s="14">
        <v>197.44</v>
      </c>
      <c r="G43" s="14">
        <v>17.56</v>
      </c>
      <c r="H43" s="14">
        <v>380.45</v>
      </c>
      <c r="I43" s="14">
        <v>15.41</v>
      </c>
      <c r="J43" s="14"/>
      <c r="K43" s="14"/>
      <c r="L43" s="10"/>
      <c r="M43" s="14"/>
      <c r="N43" s="12"/>
      <c r="O43" s="14">
        <f t="shared" si="18"/>
        <v>689.56</v>
      </c>
      <c r="P43" s="12"/>
      <c r="Q43" s="12"/>
      <c r="R43" s="12"/>
      <c r="S43" s="22">
        <f t="shared" si="19"/>
        <v>0</v>
      </c>
      <c r="T43" s="22">
        <f t="shared" si="20"/>
        <v>0</v>
      </c>
    </row>
    <row r="44" ht="48" spans="1:20">
      <c r="A44" s="10">
        <v>40</v>
      </c>
      <c r="B44" s="20" t="s">
        <v>96</v>
      </c>
      <c r="C44" s="21" t="s">
        <v>97</v>
      </c>
      <c r="D44" s="10" t="s">
        <v>26</v>
      </c>
      <c r="E44" s="14">
        <v>5697.03</v>
      </c>
      <c r="F44" s="14">
        <v>6947.7</v>
      </c>
      <c r="G44" s="14">
        <v>6035.23</v>
      </c>
      <c r="H44" s="14">
        <v>8680.08</v>
      </c>
      <c r="I44" s="14">
        <v>10369.28</v>
      </c>
      <c r="J44" s="14">
        <v>65.44</v>
      </c>
      <c r="K44" s="14">
        <v>65.44</v>
      </c>
      <c r="L44" s="10">
        <v>106.76</v>
      </c>
      <c r="M44" s="14"/>
      <c r="N44" s="12"/>
      <c r="O44" s="14">
        <f t="shared" si="18"/>
        <v>37966.96</v>
      </c>
      <c r="P44" s="12"/>
      <c r="Q44" s="12"/>
      <c r="R44" s="12"/>
      <c r="S44" s="22">
        <f t="shared" si="19"/>
        <v>0</v>
      </c>
      <c r="T44" s="22">
        <f t="shared" si="20"/>
        <v>0</v>
      </c>
    </row>
    <row r="45" ht="60" spans="1:20">
      <c r="A45" s="10">
        <v>41</v>
      </c>
      <c r="B45" s="20" t="s">
        <v>98</v>
      </c>
      <c r="C45" s="21" t="s">
        <v>99</v>
      </c>
      <c r="D45" s="10" t="s">
        <v>26</v>
      </c>
      <c r="E45" s="14">
        <v>2678.31</v>
      </c>
      <c r="F45" s="14">
        <v>708.01</v>
      </c>
      <c r="G45" s="14">
        <v>274.26</v>
      </c>
      <c r="H45" s="14">
        <v>4431.16</v>
      </c>
      <c r="I45" s="14">
        <v>2962.94</v>
      </c>
      <c r="J45" s="14">
        <v>12.96</v>
      </c>
      <c r="K45" s="14">
        <v>12.96</v>
      </c>
      <c r="L45" s="10">
        <v>29.52</v>
      </c>
      <c r="M45" s="14"/>
      <c r="N45" s="12"/>
      <c r="O45" s="14">
        <f t="shared" si="18"/>
        <v>11110.12</v>
      </c>
      <c r="P45" s="12"/>
      <c r="Q45" s="12"/>
      <c r="R45" s="12"/>
      <c r="S45" s="22">
        <f t="shared" si="19"/>
        <v>0</v>
      </c>
      <c r="T45" s="22">
        <f t="shared" si="20"/>
        <v>0</v>
      </c>
    </row>
    <row r="46" ht="72" spans="1:20">
      <c r="A46" s="10">
        <v>42</v>
      </c>
      <c r="B46" s="20" t="s">
        <v>98</v>
      </c>
      <c r="C46" s="21" t="s">
        <v>100</v>
      </c>
      <c r="D46" s="10" t="s">
        <v>26</v>
      </c>
      <c r="E46" s="14">
        <v>140.96</v>
      </c>
      <c r="F46" s="14"/>
      <c r="G46" s="14"/>
      <c r="H46" s="14"/>
      <c r="I46" s="14"/>
      <c r="J46" s="14"/>
      <c r="K46" s="14"/>
      <c r="L46" s="10"/>
      <c r="M46" s="14"/>
      <c r="N46" s="12"/>
      <c r="O46" s="14">
        <f t="shared" si="18"/>
        <v>140.96</v>
      </c>
      <c r="P46" s="12"/>
      <c r="Q46" s="12"/>
      <c r="R46" s="12"/>
      <c r="S46" s="22">
        <f t="shared" si="19"/>
        <v>0</v>
      </c>
      <c r="T46" s="22">
        <f t="shared" si="20"/>
        <v>0</v>
      </c>
    </row>
    <row r="47" s="1" customFormat="1" ht="86" customHeight="1" spans="1:20">
      <c r="A47" s="28">
        <v>43</v>
      </c>
      <c r="B47" s="29" t="s">
        <v>98</v>
      </c>
      <c r="C47" s="29" t="s">
        <v>101</v>
      </c>
      <c r="D47" s="30" t="s">
        <v>26</v>
      </c>
      <c r="E47" s="31"/>
      <c r="F47" s="31"/>
      <c r="G47" s="31">
        <v>123.48</v>
      </c>
      <c r="H47" s="31">
        <v>444.4</v>
      </c>
      <c r="I47" s="31"/>
      <c r="J47" s="31"/>
      <c r="K47" s="31"/>
      <c r="L47" s="28"/>
      <c r="M47" s="31"/>
      <c r="N47" s="32"/>
      <c r="O47" s="31">
        <f t="shared" si="18"/>
        <v>567.88</v>
      </c>
      <c r="P47" s="32"/>
      <c r="Q47" s="32"/>
      <c r="R47" s="32"/>
      <c r="S47" s="33">
        <f t="shared" si="19"/>
        <v>0</v>
      </c>
      <c r="T47" s="33">
        <f t="shared" si="20"/>
        <v>0</v>
      </c>
    </row>
    <row r="48" ht="72" spans="1:20">
      <c r="A48" s="10">
        <v>44</v>
      </c>
      <c r="B48" s="23" t="s">
        <v>102</v>
      </c>
      <c r="C48" s="24" t="s">
        <v>103</v>
      </c>
      <c r="D48" s="25" t="s">
        <v>26</v>
      </c>
      <c r="E48" s="14">
        <f>432.47+90.22+94.67</f>
        <v>617.36</v>
      </c>
      <c r="F48" s="14"/>
      <c r="G48" s="14">
        <f>1623.62+165.23</f>
        <v>1788.85</v>
      </c>
      <c r="H48" s="14">
        <f>1976.75+139.12</f>
        <v>2115.87</v>
      </c>
      <c r="I48" s="14">
        <f>1314.42+328.6</f>
        <v>1643.02</v>
      </c>
      <c r="J48" s="14"/>
      <c r="K48" s="14"/>
      <c r="L48" s="10"/>
      <c r="M48" s="14"/>
      <c r="N48" s="12"/>
      <c r="O48" s="14">
        <f t="shared" ref="O48:O54" si="21">SUM(E48:N48)</f>
        <v>6165.1</v>
      </c>
      <c r="P48" s="12"/>
      <c r="Q48" s="12"/>
      <c r="R48" s="12"/>
      <c r="S48" s="22">
        <f t="shared" ref="S48:S54" si="22">P48+Q48+R48</f>
        <v>0</v>
      </c>
      <c r="T48" s="22">
        <f t="shared" ref="T48:T54" si="23">O48*S48</f>
        <v>0</v>
      </c>
    </row>
    <row r="49" ht="88" customHeight="1" spans="1:20">
      <c r="A49" s="10">
        <v>45</v>
      </c>
      <c r="B49" s="23" t="s">
        <v>104</v>
      </c>
      <c r="C49" s="24" t="s">
        <v>105</v>
      </c>
      <c r="D49" s="25" t="s">
        <v>26</v>
      </c>
      <c r="E49" s="13"/>
      <c r="F49" s="14">
        <v>705.8</v>
      </c>
      <c r="G49" s="14"/>
      <c r="H49" s="14"/>
      <c r="I49" s="14"/>
      <c r="J49" s="14"/>
      <c r="K49" s="14"/>
      <c r="L49" s="10"/>
      <c r="M49" s="14"/>
      <c r="N49" s="12"/>
      <c r="O49" s="14">
        <f t="shared" si="21"/>
        <v>705.8</v>
      </c>
      <c r="P49" s="12"/>
      <c r="Q49" s="12"/>
      <c r="R49" s="12"/>
      <c r="S49" s="22">
        <f t="shared" si="22"/>
        <v>0</v>
      </c>
      <c r="T49" s="22">
        <f t="shared" si="23"/>
        <v>0</v>
      </c>
    </row>
    <row r="50" ht="96" spans="1:20">
      <c r="A50" s="10">
        <v>46</v>
      </c>
      <c r="B50" s="23" t="s">
        <v>106</v>
      </c>
      <c r="C50" s="24" t="s">
        <v>107</v>
      </c>
      <c r="D50" s="25" t="s">
        <v>26</v>
      </c>
      <c r="E50" s="25">
        <v>94.67</v>
      </c>
      <c r="F50" s="14"/>
      <c r="G50" s="14"/>
      <c r="H50" s="14"/>
      <c r="I50" s="14">
        <v>62.05</v>
      </c>
      <c r="J50" s="14"/>
      <c r="K50" s="14"/>
      <c r="L50" s="10"/>
      <c r="M50" s="14"/>
      <c r="N50" s="12"/>
      <c r="O50" s="14">
        <f t="shared" si="21"/>
        <v>156.72</v>
      </c>
      <c r="P50" s="12"/>
      <c r="Q50" s="12"/>
      <c r="R50" s="12"/>
      <c r="S50" s="22">
        <f t="shared" si="22"/>
        <v>0</v>
      </c>
      <c r="T50" s="22">
        <f t="shared" si="23"/>
        <v>0</v>
      </c>
    </row>
    <row r="51" ht="72" spans="1:20">
      <c r="A51" s="10">
        <v>47</v>
      </c>
      <c r="B51" s="23" t="s">
        <v>108</v>
      </c>
      <c r="C51" s="24" t="s">
        <v>109</v>
      </c>
      <c r="D51" s="25" t="s">
        <v>26</v>
      </c>
      <c r="E51" s="25">
        <v>5.59</v>
      </c>
      <c r="F51" s="14"/>
      <c r="G51" s="14"/>
      <c r="H51" s="14"/>
      <c r="I51" s="14"/>
      <c r="J51" s="14"/>
      <c r="K51" s="14"/>
      <c r="L51" s="10"/>
      <c r="M51" s="14"/>
      <c r="N51" s="12"/>
      <c r="O51" s="14">
        <f t="shared" si="21"/>
        <v>5.59</v>
      </c>
      <c r="P51" s="12"/>
      <c r="Q51" s="12"/>
      <c r="R51" s="12"/>
      <c r="S51" s="22">
        <f t="shared" si="22"/>
        <v>0</v>
      </c>
      <c r="T51" s="22">
        <f t="shared" si="23"/>
        <v>0</v>
      </c>
    </row>
    <row r="52" ht="81" customHeight="1" spans="1:20">
      <c r="A52" s="28">
        <v>48</v>
      </c>
      <c r="B52" s="29" t="s">
        <v>110</v>
      </c>
      <c r="C52" s="29" t="s">
        <v>109</v>
      </c>
      <c r="D52" s="30" t="s">
        <v>26</v>
      </c>
      <c r="E52" s="30"/>
      <c r="F52" s="31"/>
      <c r="G52" s="31"/>
      <c r="H52" s="31"/>
      <c r="I52" s="31">
        <v>5.82</v>
      </c>
      <c r="J52" s="31"/>
      <c r="K52" s="31"/>
      <c r="L52" s="28"/>
      <c r="M52" s="31"/>
      <c r="N52" s="32"/>
      <c r="O52" s="31">
        <f t="shared" si="21"/>
        <v>5.82</v>
      </c>
      <c r="P52" s="32"/>
      <c r="Q52" s="32"/>
      <c r="R52" s="32"/>
      <c r="S52" s="33">
        <f t="shared" si="22"/>
        <v>0</v>
      </c>
      <c r="T52" s="33">
        <f t="shared" si="23"/>
        <v>0</v>
      </c>
    </row>
    <row r="53" ht="97" customHeight="1" spans="1:20">
      <c r="A53" s="10">
        <v>49</v>
      </c>
      <c r="B53" s="24" t="s">
        <v>111</v>
      </c>
      <c r="C53" s="24" t="s">
        <v>112</v>
      </c>
      <c r="D53" s="25" t="s">
        <v>26</v>
      </c>
      <c r="E53" s="25"/>
      <c r="F53" s="14"/>
      <c r="G53" s="14">
        <f>129.95+34.69</f>
        <v>164.64</v>
      </c>
      <c r="H53" s="14"/>
      <c r="I53" s="14">
        <v>344.27</v>
      </c>
      <c r="J53" s="14"/>
      <c r="K53" s="14"/>
      <c r="L53" s="10"/>
      <c r="M53" s="14"/>
      <c r="N53" s="12"/>
      <c r="O53" s="14">
        <f t="shared" si="21"/>
        <v>508.91</v>
      </c>
      <c r="P53" s="12"/>
      <c r="Q53" s="12"/>
      <c r="R53" s="12"/>
      <c r="S53" s="22">
        <f t="shared" si="22"/>
        <v>0</v>
      </c>
      <c r="T53" s="22">
        <f t="shared" si="23"/>
        <v>0</v>
      </c>
    </row>
    <row r="54" ht="39" customHeight="1" spans="1:20">
      <c r="A54" s="10">
        <v>50</v>
      </c>
      <c r="B54" s="24" t="s">
        <v>113</v>
      </c>
      <c r="C54" s="24" t="s">
        <v>114</v>
      </c>
      <c r="D54" s="25" t="s">
        <v>26</v>
      </c>
      <c r="E54" s="25"/>
      <c r="F54" s="14"/>
      <c r="G54" s="14">
        <v>165.31</v>
      </c>
      <c r="H54" s="14"/>
      <c r="I54" s="14"/>
      <c r="J54" s="14"/>
      <c r="K54" s="14"/>
      <c r="L54" s="10"/>
      <c r="M54" s="14"/>
      <c r="N54" s="12"/>
      <c r="O54" s="14">
        <f t="shared" si="21"/>
        <v>165.31</v>
      </c>
      <c r="P54" s="12"/>
      <c r="Q54" s="12"/>
      <c r="R54" s="12"/>
      <c r="S54" s="22">
        <f t="shared" si="22"/>
        <v>0</v>
      </c>
      <c r="T54" s="22">
        <f t="shared" si="23"/>
        <v>0</v>
      </c>
    </row>
    <row r="55" ht="60" spans="1:20">
      <c r="A55" s="10">
        <v>51</v>
      </c>
      <c r="B55" s="23" t="s">
        <v>115</v>
      </c>
      <c r="C55" s="24" t="s">
        <v>116</v>
      </c>
      <c r="D55" s="25" t="s">
        <v>26</v>
      </c>
      <c r="E55" s="25">
        <v>1793.37</v>
      </c>
      <c r="F55" s="14">
        <v>785.11</v>
      </c>
      <c r="G55" s="14">
        <v>1505.88</v>
      </c>
      <c r="H55" s="14">
        <v>2688.6</v>
      </c>
      <c r="I55" s="14">
        <v>3539.35</v>
      </c>
      <c r="J55" s="14"/>
      <c r="K55" s="14"/>
      <c r="L55" s="10"/>
      <c r="M55" s="14"/>
      <c r="N55" s="12"/>
      <c r="O55" s="14">
        <f t="shared" ref="O55:O88" si="24">SUM(E55:N55)</f>
        <v>10312.31</v>
      </c>
      <c r="P55" s="12"/>
      <c r="Q55" s="12"/>
      <c r="R55" s="12"/>
      <c r="S55" s="22">
        <f t="shared" ref="S55:S88" si="25">P55+Q55+R55</f>
        <v>0</v>
      </c>
      <c r="T55" s="22">
        <f t="shared" ref="T55:T88" si="26">O55*S55</f>
        <v>0</v>
      </c>
    </row>
    <row r="56" ht="24" spans="1:20">
      <c r="A56" s="10">
        <v>52</v>
      </c>
      <c r="B56" s="23" t="s">
        <v>117</v>
      </c>
      <c r="C56" s="24" t="s">
        <v>118</v>
      </c>
      <c r="D56" s="23" t="s">
        <v>119</v>
      </c>
      <c r="E56" s="25">
        <v>16.5</v>
      </c>
      <c r="F56" s="14"/>
      <c r="G56" s="14">
        <v>168.4</v>
      </c>
      <c r="H56" s="14"/>
      <c r="I56" s="14">
        <v>13.2</v>
      </c>
      <c r="J56" s="14"/>
      <c r="K56" s="14"/>
      <c r="L56" s="10"/>
      <c r="M56" s="14"/>
      <c r="N56" s="12"/>
      <c r="O56" s="14">
        <f t="shared" si="24"/>
        <v>198.1</v>
      </c>
      <c r="P56" s="12"/>
      <c r="Q56" s="12"/>
      <c r="R56" s="12"/>
      <c r="S56" s="22">
        <f t="shared" si="25"/>
        <v>0</v>
      </c>
      <c r="T56" s="22">
        <f t="shared" si="26"/>
        <v>0</v>
      </c>
    </row>
    <row r="57" ht="24" spans="1:20">
      <c r="A57" s="10">
        <v>53</v>
      </c>
      <c r="B57" s="23" t="s">
        <v>120</v>
      </c>
      <c r="C57" s="24" t="s">
        <v>121</v>
      </c>
      <c r="D57" s="25" t="s">
        <v>26</v>
      </c>
      <c r="E57" s="25">
        <f>6.93+36.8</f>
        <v>43.73</v>
      </c>
      <c r="F57" s="14"/>
      <c r="G57" s="14">
        <v>100.5</v>
      </c>
      <c r="H57" s="14">
        <v>87.6</v>
      </c>
      <c r="I57" s="14">
        <f>8.4+33.8</f>
        <v>42.2</v>
      </c>
      <c r="J57" s="14"/>
      <c r="K57" s="14"/>
      <c r="L57" s="10"/>
      <c r="M57" s="14"/>
      <c r="N57" s="12"/>
      <c r="O57" s="14">
        <f t="shared" si="24"/>
        <v>274.03</v>
      </c>
      <c r="P57" s="12"/>
      <c r="Q57" s="12"/>
      <c r="R57" s="12"/>
      <c r="S57" s="22">
        <f t="shared" si="25"/>
        <v>0</v>
      </c>
      <c r="T57" s="22">
        <f t="shared" si="26"/>
        <v>0</v>
      </c>
    </row>
    <row r="58" ht="36" spans="1:20">
      <c r="A58" s="10">
        <v>54</v>
      </c>
      <c r="B58" s="23" t="s">
        <v>122</v>
      </c>
      <c r="C58" s="24" t="s">
        <v>123</v>
      </c>
      <c r="D58" s="25" t="s">
        <v>119</v>
      </c>
      <c r="E58" s="25">
        <v>27.5</v>
      </c>
      <c r="F58" s="14"/>
      <c r="G58" s="14">
        <v>27.5</v>
      </c>
      <c r="H58" s="14">
        <v>58.4</v>
      </c>
      <c r="I58" s="14">
        <v>27.5</v>
      </c>
      <c r="J58" s="14"/>
      <c r="K58" s="14"/>
      <c r="L58" s="10"/>
      <c r="M58" s="14"/>
      <c r="N58" s="12"/>
      <c r="O58" s="14">
        <f t="shared" si="24"/>
        <v>140.9</v>
      </c>
      <c r="P58" s="12"/>
      <c r="Q58" s="12"/>
      <c r="R58" s="12"/>
      <c r="S58" s="22">
        <f t="shared" si="25"/>
        <v>0</v>
      </c>
      <c r="T58" s="22">
        <f t="shared" si="26"/>
        <v>0</v>
      </c>
    </row>
    <row r="59" spans="1:20">
      <c r="A59" s="10">
        <v>55</v>
      </c>
      <c r="B59" s="23" t="s">
        <v>124</v>
      </c>
      <c r="C59" s="34" t="s">
        <v>125</v>
      </c>
      <c r="D59" s="25" t="s">
        <v>126</v>
      </c>
      <c r="E59" s="25">
        <v>67</v>
      </c>
      <c r="F59" s="14">
        <v>225</v>
      </c>
      <c r="G59" s="14">
        <v>250</v>
      </c>
      <c r="H59" s="14">
        <v>185</v>
      </c>
      <c r="I59" s="14">
        <v>64</v>
      </c>
      <c r="J59" s="14"/>
      <c r="K59" s="14"/>
      <c r="L59" s="10"/>
      <c r="M59" s="14"/>
      <c r="N59" s="12"/>
      <c r="O59" s="14">
        <f t="shared" si="24"/>
        <v>791</v>
      </c>
      <c r="P59" s="12"/>
      <c r="Q59" s="12"/>
      <c r="R59" s="12"/>
      <c r="S59" s="22">
        <f t="shared" si="25"/>
        <v>0</v>
      </c>
      <c r="T59" s="22">
        <f t="shared" si="26"/>
        <v>0</v>
      </c>
    </row>
    <row r="60" spans="1:20">
      <c r="A60" s="10">
        <v>56</v>
      </c>
      <c r="B60" s="23" t="s">
        <v>124</v>
      </c>
      <c r="C60" s="34" t="s">
        <v>127</v>
      </c>
      <c r="D60" s="25" t="s">
        <v>126</v>
      </c>
      <c r="E60" s="25">
        <v>18</v>
      </c>
      <c r="F60" s="14"/>
      <c r="G60" s="25">
        <v>60</v>
      </c>
      <c r="H60" s="14">
        <v>570</v>
      </c>
      <c r="I60" s="25">
        <v>15</v>
      </c>
      <c r="J60" s="14"/>
      <c r="K60" s="14"/>
      <c r="L60" s="10"/>
      <c r="M60" s="14"/>
      <c r="N60" s="12"/>
      <c r="O60" s="14">
        <f t="shared" si="24"/>
        <v>663</v>
      </c>
      <c r="P60" s="12"/>
      <c r="Q60" s="12"/>
      <c r="R60" s="12"/>
      <c r="S60" s="22">
        <f t="shared" si="25"/>
        <v>0</v>
      </c>
      <c r="T60" s="22">
        <f t="shared" si="26"/>
        <v>0</v>
      </c>
    </row>
    <row r="61" spans="1:20">
      <c r="A61" s="10">
        <v>57</v>
      </c>
      <c r="B61" s="23" t="s">
        <v>124</v>
      </c>
      <c r="C61" s="34" t="s">
        <v>128</v>
      </c>
      <c r="D61" s="25" t="s">
        <v>126</v>
      </c>
      <c r="E61" s="25">
        <v>7</v>
      </c>
      <c r="F61" s="14"/>
      <c r="G61" s="25">
        <v>20</v>
      </c>
      <c r="H61" s="14">
        <v>200</v>
      </c>
      <c r="I61" s="25">
        <v>5</v>
      </c>
      <c r="J61" s="14"/>
      <c r="K61" s="14"/>
      <c r="L61" s="10"/>
      <c r="M61" s="14"/>
      <c r="N61" s="12"/>
      <c r="O61" s="14">
        <f t="shared" si="24"/>
        <v>232</v>
      </c>
      <c r="P61" s="12"/>
      <c r="Q61" s="12"/>
      <c r="R61" s="12"/>
      <c r="S61" s="22">
        <f t="shared" si="25"/>
        <v>0</v>
      </c>
      <c r="T61" s="22">
        <f t="shared" si="26"/>
        <v>0</v>
      </c>
    </row>
    <row r="62" ht="36" spans="1:20">
      <c r="A62" s="10">
        <v>58</v>
      </c>
      <c r="B62" s="23" t="s">
        <v>129</v>
      </c>
      <c r="C62" s="24" t="s">
        <v>130</v>
      </c>
      <c r="D62" s="25" t="s">
        <v>119</v>
      </c>
      <c r="E62" s="25">
        <v>168.34</v>
      </c>
      <c r="F62" s="14"/>
      <c r="G62" s="14"/>
      <c r="H62" s="14">
        <v>436</v>
      </c>
      <c r="I62" s="14">
        <v>171.11</v>
      </c>
      <c r="J62" s="14"/>
      <c r="K62" s="14"/>
      <c r="L62" s="10"/>
      <c r="M62" s="14"/>
      <c r="N62" s="12"/>
      <c r="O62" s="14">
        <f t="shared" si="24"/>
        <v>775.45</v>
      </c>
      <c r="P62" s="12"/>
      <c r="Q62" s="12"/>
      <c r="R62" s="12"/>
      <c r="S62" s="22">
        <f t="shared" si="25"/>
        <v>0</v>
      </c>
      <c r="T62" s="22">
        <f t="shared" si="26"/>
        <v>0</v>
      </c>
    </row>
    <row r="63" ht="36" spans="1:20">
      <c r="A63" s="10">
        <v>59</v>
      </c>
      <c r="B63" s="23" t="s">
        <v>131</v>
      </c>
      <c r="C63" s="24" t="s">
        <v>132</v>
      </c>
      <c r="D63" s="25" t="s">
        <v>119</v>
      </c>
      <c r="E63" s="25">
        <v>28.9</v>
      </c>
      <c r="F63" s="14">
        <v>215.1</v>
      </c>
      <c r="G63" s="14">
        <v>7.8</v>
      </c>
      <c r="H63" s="14">
        <v>612.36</v>
      </c>
      <c r="I63" s="14">
        <v>825.47</v>
      </c>
      <c r="J63" s="14">
        <v>29.4</v>
      </c>
      <c r="K63" s="14">
        <v>24.2</v>
      </c>
      <c r="L63" s="10"/>
      <c r="M63" s="14"/>
      <c r="N63" s="12"/>
      <c r="O63" s="14">
        <f t="shared" si="24"/>
        <v>1743.23</v>
      </c>
      <c r="P63" s="12"/>
      <c r="Q63" s="12"/>
      <c r="R63" s="12"/>
      <c r="S63" s="22">
        <f t="shared" si="25"/>
        <v>0</v>
      </c>
      <c r="T63" s="22">
        <f t="shared" si="26"/>
        <v>0</v>
      </c>
    </row>
    <row r="64" ht="36" spans="1:20">
      <c r="A64" s="10">
        <v>60</v>
      </c>
      <c r="B64" s="23" t="s">
        <v>131</v>
      </c>
      <c r="C64" s="24" t="s">
        <v>133</v>
      </c>
      <c r="D64" s="25" t="s">
        <v>119</v>
      </c>
      <c r="E64" s="25">
        <v>29.2</v>
      </c>
      <c r="F64" s="14"/>
      <c r="G64" s="14"/>
      <c r="H64" s="14">
        <v>94.06</v>
      </c>
      <c r="I64" s="14">
        <v>123.1</v>
      </c>
      <c r="J64" s="14">
        <v>24.2</v>
      </c>
      <c r="K64" s="14">
        <v>24.2</v>
      </c>
      <c r="L64" s="10"/>
      <c r="M64" s="14"/>
      <c r="N64" s="12"/>
      <c r="O64" s="14">
        <f t="shared" si="24"/>
        <v>294.76</v>
      </c>
      <c r="P64" s="12"/>
      <c r="Q64" s="12"/>
      <c r="R64" s="12"/>
      <c r="S64" s="22">
        <f t="shared" si="25"/>
        <v>0</v>
      </c>
      <c r="T64" s="22">
        <f t="shared" si="26"/>
        <v>0</v>
      </c>
    </row>
    <row r="65" ht="36" spans="1:20">
      <c r="A65" s="10">
        <v>61</v>
      </c>
      <c r="B65" s="23" t="s">
        <v>134</v>
      </c>
      <c r="C65" s="24" t="s">
        <v>135</v>
      </c>
      <c r="D65" s="25" t="s">
        <v>119</v>
      </c>
      <c r="E65" s="25">
        <v>9.3</v>
      </c>
      <c r="F65" s="14">
        <f>157.85+25.2</f>
        <v>183.05</v>
      </c>
      <c r="G65" s="14">
        <f>168.4+14.8</f>
        <v>183.2</v>
      </c>
      <c r="H65" s="14">
        <v>72</v>
      </c>
      <c r="I65" s="14">
        <v>68.2</v>
      </c>
      <c r="J65" s="14"/>
      <c r="K65" s="14"/>
      <c r="L65" s="10"/>
      <c r="M65" s="14"/>
      <c r="N65" s="12"/>
      <c r="O65" s="14">
        <f t="shared" si="24"/>
        <v>515.75</v>
      </c>
      <c r="P65" s="12"/>
      <c r="Q65" s="12"/>
      <c r="R65" s="12"/>
      <c r="S65" s="22">
        <f t="shared" si="25"/>
        <v>0</v>
      </c>
      <c r="T65" s="22">
        <f t="shared" si="26"/>
        <v>0</v>
      </c>
    </row>
    <row r="66" ht="36" spans="1:20">
      <c r="A66" s="10">
        <v>62</v>
      </c>
      <c r="B66" s="23" t="s">
        <v>136</v>
      </c>
      <c r="C66" s="24" t="s">
        <v>137</v>
      </c>
      <c r="D66" s="25" t="s">
        <v>119</v>
      </c>
      <c r="E66" s="25">
        <f>84.95+32.54</f>
        <v>117.49</v>
      </c>
      <c r="F66" s="14">
        <f>105.9+35.51</f>
        <v>141.41</v>
      </c>
      <c r="G66" s="14">
        <f>224.13+224.13</f>
        <v>448.26</v>
      </c>
      <c r="H66" s="14">
        <v>145.06</v>
      </c>
      <c r="I66" s="14">
        <f>157.26+51.21</f>
        <v>208.47</v>
      </c>
      <c r="J66" s="14"/>
      <c r="K66" s="14"/>
      <c r="L66" s="10"/>
      <c r="M66" s="14">
        <f>136.15+32.65</f>
        <v>168.8</v>
      </c>
      <c r="N66" s="12"/>
      <c r="O66" s="14">
        <f t="shared" si="24"/>
        <v>1229.49</v>
      </c>
      <c r="P66" s="12"/>
      <c r="Q66" s="12"/>
      <c r="R66" s="12"/>
      <c r="S66" s="22">
        <f t="shared" si="25"/>
        <v>0</v>
      </c>
      <c r="T66" s="22">
        <f t="shared" si="26"/>
        <v>0</v>
      </c>
    </row>
    <row r="67" ht="36" spans="1:20">
      <c r="A67" s="10">
        <v>63</v>
      </c>
      <c r="B67" s="23" t="s">
        <v>136</v>
      </c>
      <c r="C67" s="24" t="s">
        <v>138</v>
      </c>
      <c r="D67" s="25" t="s">
        <v>119</v>
      </c>
      <c r="E67" s="25">
        <f>5.85+1.95</f>
        <v>7.8</v>
      </c>
      <c r="F67" s="14">
        <v>12</v>
      </c>
      <c r="G67" s="14">
        <f>1+224.13</f>
        <v>225.13</v>
      </c>
      <c r="H67" s="14">
        <f>18+28</f>
        <v>46</v>
      </c>
      <c r="I67" s="14">
        <f>5.85+2.05</f>
        <v>7.9</v>
      </c>
      <c r="J67" s="14"/>
      <c r="K67" s="14"/>
      <c r="L67" s="10"/>
      <c r="M67" s="14"/>
      <c r="N67" s="12"/>
      <c r="O67" s="14">
        <f t="shared" si="24"/>
        <v>298.83</v>
      </c>
      <c r="P67" s="12"/>
      <c r="Q67" s="12"/>
      <c r="R67" s="12"/>
      <c r="S67" s="22">
        <f t="shared" si="25"/>
        <v>0</v>
      </c>
      <c r="T67" s="22">
        <f t="shared" si="26"/>
        <v>0</v>
      </c>
    </row>
    <row r="68" ht="24" spans="1:20">
      <c r="A68" s="10">
        <v>64</v>
      </c>
      <c r="B68" s="23" t="s">
        <v>139</v>
      </c>
      <c r="C68" s="24" t="s">
        <v>140</v>
      </c>
      <c r="D68" s="25" t="s">
        <v>119</v>
      </c>
      <c r="E68" s="25">
        <v>98.99</v>
      </c>
      <c r="F68" s="14">
        <v>47.41</v>
      </c>
      <c r="G68" s="14">
        <v>224.13</v>
      </c>
      <c r="H68" s="14">
        <v>168.25</v>
      </c>
      <c r="I68" s="14">
        <v>6.38</v>
      </c>
      <c r="J68" s="14"/>
      <c r="K68" s="14"/>
      <c r="L68" s="10"/>
      <c r="M68" s="14">
        <v>136.15</v>
      </c>
      <c r="N68" s="12"/>
      <c r="O68" s="14">
        <f t="shared" si="24"/>
        <v>681.31</v>
      </c>
      <c r="P68" s="12"/>
      <c r="Q68" s="12"/>
      <c r="R68" s="12"/>
      <c r="S68" s="22">
        <f t="shared" si="25"/>
        <v>0</v>
      </c>
      <c r="T68" s="22">
        <f t="shared" si="26"/>
        <v>0</v>
      </c>
    </row>
    <row r="69" ht="24" spans="1:20">
      <c r="A69" s="10">
        <v>65</v>
      </c>
      <c r="B69" s="23" t="s">
        <v>141</v>
      </c>
      <c r="C69" s="24" t="s">
        <v>142</v>
      </c>
      <c r="D69" s="25" t="s">
        <v>119</v>
      </c>
      <c r="E69" s="25">
        <v>4.8</v>
      </c>
      <c r="F69" s="14">
        <v>35.51</v>
      </c>
      <c r="G69" s="14">
        <v>1</v>
      </c>
      <c r="H69" s="14"/>
      <c r="I69" s="14">
        <v>42.21</v>
      </c>
      <c r="J69" s="14"/>
      <c r="K69" s="14"/>
      <c r="L69" s="10"/>
      <c r="M69" s="14">
        <v>32.65</v>
      </c>
      <c r="N69" s="12"/>
      <c r="O69" s="14">
        <f t="shared" si="24"/>
        <v>116.17</v>
      </c>
      <c r="P69" s="12"/>
      <c r="Q69" s="12"/>
      <c r="R69" s="12"/>
      <c r="S69" s="22">
        <f t="shared" si="25"/>
        <v>0</v>
      </c>
      <c r="T69" s="22">
        <f t="shared" si="26"/>
        <v>0</v>
      </c>
    </row>
    <row r="70" ht="24" spans="1:20">
      <c r="A70" s="10">
        <v>66</v>
      </c>
      <c r="B70" s="23" t="s">
        <v>143</v>
      </c>
      <c r="C70" s="24" t="s">
        <v>144</v>
      </c>
      <c r="D70" s="25" t="s">
        <v>119</v>
      </c>
      <c r="E70" s="25"/>
      <c r="F70" s="14">
        <v>16</v>
      </c>
      <c r="G70" s="14">
        <v>6.7</v>
      </c>
      <c r="H70" s="14"/>
      <c r="I70" s="14">
        <v>16.5</v>
      </c>
      <c r="J70" s="14"/>
      <c r="K70" s="14"/>
      <c r="L70" s="10"/>
      <c r="M70" s="14"/>
      <c r="N70" s="12"/>
      <c r="O70" s="14">
        <f t="shared" si="24"/>
        <v>39.2</v>
      </c>
      <c r="P70" s="12"/>
      <c r="Q70" s="12"/>
      <c r="R70" s="12"/>
      <c r="S70" s="22">
        <f t="shared" si="25"/>
        <v>0</v>
      </c>
      <c r="T70" s="22">
        <f t="shared" si="26"/>
        <v>0</v>
      </c>
    </row>
    <row r="71" ht="48" spans="1:20">
      <c r="A71" s="10">
        <v>67</v>
      </c>
      <c r="B71" s="23" t="s">
        <v>145</v>
      </c>
      <c r="C71" s="24" t="s">
        <v>146</v>
      </c>
      <c r="D71" s="25" t="s">
        <v>119</v>
      </c>
      <c r="E71" s="25"/>
      <c r="F71" s="25">
        <v>4</v>
      </c>
      <c r="G71" s="14">
        <v>1</v>
      </c>
      <c r="H71" s="14"/>
      <c r="I71" s="14"/>
      <c r="J71" s="14"/>
      <c r="K71" s="14"/>
      <c r="L71" s="10"/>
      <c r="M71" s="14"/>
      <c r="N71" s="12"/>
      <c r="O71" s="14">
        <f t="shared" si="24"/>
        <v>5</v>
      </c>
      <c r="P71" s="12"/>
      <c r="Q71" s="12"/>
      <c r="R71" s="12"/>
      <c r="S71" s="22">
        <f t="shared" si="25"/>
        <v>0</v>
      </c>
      <c r="T71" s="22">
        <f t="shared" si="26"/>
        <v>0</v>
      </c>
    </row>
    <row r="72" ht="48" spans="1:20">
      <c r="A72" s="10">
        <v>68</v>
      </c>
      <c r="B72" s="23" t="s">
        <v>147</v>
      </c>
      <c r="C72" s="24" t="s">
        <v>148</v>
      </c>
      <c r="D72" s="25" t="s">
        <v>119</v>
      </c>
      <c r="E72" s="25"/>
      <c r="F72" s="25">
        <v>22</v>
      </c>
      <c r="G72" s="14">
        <v>71.32</v>
      </c>
      <c r="H72" s="14"/>
      <c r="I72" s="14"/>
      <c r="J72" s="14"/>
      <c r="K72" s="14"/>
      <c r="L72" s="10"/>
      <c r="M72" s="14"/>
      <c r="N72" s="12"/>
      <c r="O72" s="14">
        <f t="shared" si="24"/>
        <v>93.32</v>
      </c>
      <c r="P72" s="12"/>
      <c r="Q72" s="12"/>
      <c r="R72" s="12"/>
      <c r="S72" s="22">
        <f t="shared" si="25"/>
        <v>0</v>
      </c>
      <c r="T72" s="22">
        <f t="shared" si="26"/>
        <v>0</v>
      </c>
    </row>
    <row r="73" ht="29" customHeight="1" spans="1:20">
      <c r="A73" s="10">
        <v>69</v>
      </c>
      <c r="B73" s="23" t="s">
        <v>149</v>
      </c>
      <c r="C73" s="24" t="s">
        <v>150</v>
      </c>
      <c r="D73" s="23" t="s">
        <v>119</v>
      </c>
      <c r="E73" s="25"/>
      <c r="F73" s="25"/>
      <c r="G73" s="14">
        <v>26.8</v>
      </c>
      <c r="H73" s="14"/>
      <c r="I73" s="14"/>
      <c r="J73" s="14"/>
      <c r="K73" s="14"/>
      <c r="L73" s="10"/>
      <c r="M73" s="14"/>
      <c r="N73" s="12"/>
      <c r="O73" s="14">
        <f t="shared" si="24"/>
        <v>26.8</v>
      </c>
      <c r="P73" s="12"/>
      <c r="Q73" s="12"/>
      <c r="R73" s="12"/>
      <c r="S73" s="22">
        <f t="shared" si="25"/>
        <v>0</v>
      </c>
      <c r="T73" s="22">
        <f t="shared" si="26"/>
        <v>0</v>
      </c>
    </row>
    <row r="74" ht="48" spans="1:20">
      <c r="A74" s="10">
        <v>70</v>
      </c>
      <c r="B74" s="23" t="s">
        <v>151</v>
      </c>
      <c r="C74" s="24" t="s">
        <v>152</v>
      </c>
      <c r="D74" s="25" t="s">
        <v>26</v>
      </c>
      <c r="E74" s="25">
        <v>5.06</v>
      </c>
      <c r="F74" s="14">
        <v>131.38</v>
      </c>
      <c r="G74" s="14">
        <v>27.38</v>
      </c>
      <c r="H74" s="14">
        <v>120.79</v>
      </c>
      <c r="I74" s="14">
        <v>25.04</v>
      </c>
      <c r="J74" s="14"/>
      <c r="K74" s="14"/>
      <c r="L74" s="10"/>
      <c r="M74" s="14"/>
      <c r="N74" s="12"/>
      <c r="O74" s="14">
        <f t="shared" ref="O74:O113" si="27">SUM(E74:N74)</f>
        <v>309.65</v>
      </c>
      <c r="P74" s="12"/>
      <c r="Q74" s="12"/>
      <c r="R74" s="12"/>
      <c r="S74" s="22">
        <f t="shared" ref="S74:S108" si="28">P74+Q74+R74</f>
        <v>0</v>
      </c>
      <c r="T74" s="22">
        <f t="shared" ref="T74:T113" si="29">O74*S74</f>
        <v>0</v>
      </c>
    </row>
    <row r="75" ht="26" customHeight="1" spans="1:20">
      <c r="A75" s="10">
        <v>71</v>
      </c>
      <c r="B75" s="23" t="s">
        <v>153</v>
      </c>
      <c r="C75" s="24" t="s">
        <v>154</v>
      </c>
      <c r="D75" s="23" t="s">
        <v>119</v>
      </c>
      <c r="E75" s="35">
        <v>733.2</v>
      </c>
      <c r="F75" s="14"/>
      <c r="G75" s="14"/>
      <c r="H75" s="14">
        <v>932</v>
      </c>
      <c r="I75" s="14">
        <v>630.9</v>
      </c>
      <c r="J75" s="14"/>
      <c r="K75" s="14"/>
      <c r="L75" s="10"/>
      <c r="M75" s="14"/>
      <c r="N75" s="12"/>
      <c r="O75" s="14">
        <f t="shared" si="27"/>
        <v>2296.1</v>
      </c>
      <c r="P75" s="12"/>
      <c r="Q75" s="12"/>
      <c r="R75" s="12"/>
      <c r="S75" s="22">
        <f t="shared" si="28"/>
        <v>0</v>
      </c>
      <c r="T75" s="22">
        <f t="shared" si="29"/>
        <v>0</v>
      </c>
    </row>
    <row r="76" ht="36" spans="1:20">
      <c r="A76" s="10">
        <v>72</v>
      </c>
      <c r="B76" s="23" t="s">
        <v>153</v>
      </c>
      <c r="C76" s="24" t="s">
        <v>155</v>
      </c>
      <c r="D76" s="23" t="s">
        <v>119</v>
      </c>
      <c r="E76" s="35"/>
      <c r="F76" s="14">
        <v>591</v>
      </c>
      <c r="G76" s="14"/>
      <c r="H76" s="14"/>
      <c r="I76" s="14"/>
      <c r="J76" s="14"/>
      <c r="K76" s="14"/>
      <c r="L76" s="10"/>
      <c r="M76" s="14"/>
      <c r="N76" s="12"/>
      <c r="O76" s="14">
        <f t="shared" si="27"/>
        <v>591</v>
      </c>
      <c r="P76" s="12"/>
      <c r="Q76" s="12"/>
      <c r="R76" s="12"/>
      <c r="S76" s="22">
        <f t="shared" si="28"/>
        <v>0</v>
      </c>
      <c r="T76" s="22">
        <f t="shared" si="29"/>
        <v>0</v>
      </c>
    </row>
    <row r="77" ht="36" spans="1:20">
      <c r="A77" s="10">
        <v>73</v>
      </c>
      <c r="B77" s="23" t="s">
        <v>153</v>
      </c>
      <c r="C77" s="24" t="s">
        <v>156</v>
      </c>
      <c r="D77" s="23" t="s">
        <v>119</v>
      </c>
      <c r="E77" s="35"/>
      <c r="F77" s="14"/>
      <c r="G77" s="14">
        <v>1</v>
      </c>
      <c r="H77" s="14"/>
      <c r="I77" s="14"/>
      <c r="J77" s="14"/>
      <c r="K77" s="14"/>
      <c r="L77" s="10"/>
      <c r="M77" s="14"/>
      <c r="N77" s="12"/>
      <c r="O77" s="14">
        <f t="shared" si="27"/>
        <v>1</v>
      </c>
      <c r="P77" s="12"/>
      <c r="Q77" s="12"/>
      <c r="R77" s="12"/>
      <c r="S77" s="22">
        <f t="shared" si="28"/>
        <v>0</v>
      </c>
      <c r="T77" s="22">
        <f t="shared" si="29"/>
        <v>0</v>
      </c>
    </row>
    <row r="78" ht="24" spans="1:20">
      <c r="A78" s="10">
        <v>74</v>
      </c>
      <c r="B78" s="23" t="s">
        <v>157</v>
      </c>
      <c r="C78" s="24" t="s">
        <v>158</v>
      </c>
      <c r="D78" s="23" t="s">
        <v>26</v>
      </c>
      <c r="E78" s="25">
        <f>394.22+14.4</f>
        <v>408.62</v>
      </c>
      <c r="F78" s="14">
        <f>106.92+5.6</f>
        <v>112.52</v>
      </c>
      <c r="G78" s="14">
        <f>57.2+2.24</f>
        <v>59.44</v>
      </c>
      <c r="H78" s="14">
        <f>493.2+50</f>
        <v>543.2</v>
      </c>
      <c r="I78" s="14">
        <f>472.86+25.2</f>
        <v>498.06</v>
      </c>
      <c r="J78" s="14"/>
      <c r="K78" s="14"/>
      <c r="L78" s="10"/>
      <c r="M78" s="14"/>
      <c r="N78" s="12"/>
      <c r="O78" s="14">
        <f t="shared" si="27"/>
        <v>1621.84</v>
      </c>
      <c r="P78" s="12"/>
      <c r="Q78" s="12"/>
      <c r="R78" s="12"/>
      <c r="S78" s="22">
        <f t="shared" si="28"/>
        <v>0</v>
      </c>
      <c r="T78" s="22">
        <f t="shared" si="29"/>
        <v>0</v>
      </c>
    </row>
    <row r="79" spans="1:20">
      <c r="A79" s="10">
        <v>75</v>
      </c>
      <c r="B79" s="23" t="s">
        <v>159</v>
      </c>
      <c r="C79" s="24" t="s">
        <v>160</v>
      </c>
      <c r="D79" s="25" t="s">
        <v>26</v>
      </c>
      <c r="E79" s="25">
        <v>54</v>
      </c>
      <c r="F79" s="14">
        <v>24.96</v>
      </c>
      <c r="G79" s="14">
        <v>13.2</v>
      </c>
      <c r="H79" s="14">
        <v>45</v>
      </c>
      <c r="I79" s="14">
        <v>84.6</v>
      </c>
      <c r="J79" s="14">
        <v>5</v>
      </c>
      <c r="K79" s="14">
        <v>5</v>
      </c>
      <c r="L79" s="10"/>
      <c r="M79" s="14"/>
      <c r="N79" s="12"/>
      <c r="O79" s="14">
        <f t="shared" si="27"/>
        <v>231.76</v>
      </c>
      <c r="P79" s="12"/>
      <c r="Q79" s="12"/>
      <c r="R79" s="12"/>
      <c r="S79" s="22">
        <f t="shared" si="28"/>
        <v>0</v>
      </c>
      <c r="T79" s="22">
        <f t="shared" si="29"/>
        <v>0</v>
      </c>
    </row>
    <row r="80" ht="24" spans="1:20">
      <c r="A80" s="10">
        <v>76</v>
      </c>
      <c r="B80" s="23" t="s">
        <v>161</v>
      </c>
      <c r="C80" s="24" t="s">
        <v>162</v>
      </c>
      <c r="D80" s="23" t="s">
        <v>26</v>
      </c>
      <c r="E80" s="25">
        <v>27.65</v>
      </c>
      <c r="F80" s="14">
        <v>9</v>
      </c>
      <c r="G80" s="14">
        <v>6.16</v>
      </c>
      <c r="H80" s="14">
        <v>39.25</v>
      </c>
      <c r="I80" s="14">
        <v>43.75</v>
      </c>
      <c r="J80" s="14">
        <v>5</v>
      </c>
      <c r="K80" s="14">
        <v>5</v>
      </c>
      <c r="L80" s="10">
        <v>1.12</v>
      </c>
      <c r="M80" s="14"/>
      <c r="N80" s="12"/>
      <c r="O80" s="14">
        <f t="shared" si="27"/>
        <v>136.93</v>
      </c>
      <c r="P80" s="12"/>
      <c r="Q80" s="12"/>
      <c r="R80" s="12"/>
      <c r="S80" s="22">
        <f t="shared" si="28"/>
        <v>0</v>
      </c>
      <c r="T80" s="22">
        <f t="shared" si="29"/>
        <v>0</v>
      </c>
    </row>
    <row r="81" spans="1:20">
      <c r="A81" s="10">
        <v>77</v>
      </c>
      <c r="B81" s="23" t="s">
        <v>163</v>
      </c>
      <c r="C81" s="24" t="s">
        <v>164</v>
      </c>
      <c r="D81" s="25" t="s">
        <v>26</v>
      </c>
      <c r="E81" s="25">
        <v>43.75</v>
      </c>
      <c r="F81" s="14"/>
      <c r="G81" s="14">
        <v>205.2</v>
      </c>
      <c r="H81" s="14">
        <v>58.9</v>
      </c>
      <c r="I81" s="14">
        <v>86.6</v>
      </c>
      <c r="J81" s="14"/>
      <c r="K81" s="14"/>
      <c r="L81" s="10"/>
      <c r="M81" s="14"/>
      <c r="N81" s="12"/>
      <c r="O81" s="14">
        <f t="shared" si="27"/>
        <v>394.45</v>
      </c>
      <c r="P81" s="12"/>
      <c r="Q81" s="12"/>
      <c r="R81" s="12"/>
      <c r="S81" s="22">
        <f t="shared" si="28"/>
        <v>0</v>
      </c>
      <c r="T81" s="22">
        <f t="shared" si="29"/>
        <v>0</v>
      </c>
    </row>
    <row r="82" spans="1:20">
      <c r="A82" s="10">
        <v>78</v>
      </c>
      <c r="B82" s="23" t="s">
        <v>163</v>
      </c>
      <c r="C82" s="24" t="s">
        <v>165</v>
      </c>
      <c r="D82" s="25" t="s">
        <v>26</v>
      </c>
      <c r="E82" s="25">
        <v>593.75</v>
      </c>
      <c r="F82" s="14"/>
      <c r="G82" s="14">
        <v>186</v>
      </c>
      <c r="H82" s="14">
        <v>172.5</v>
      </c>
      <c r="I82" s="14">
        <v>903.21</v>
      </c>
      <c r="J82" s="14"/>
      <c r="K82" s="14"/>
      <c r="L82" s="10"/>
      <c r="M82" s="14"/>
      <c r="N82" s="12"/>
      <c r="O82" s="14">
        <f t="shared" si="27"/>
        <v>1855.46</v>
      </c>
      <c r="P82" s="12"/>
      <c r="Q82" s="12"/>
      <c r="R82" s="12"/>
      <c r="S82" s="22">
        <f t="shared" si="28"/>
        <v>0</v>
      </c>
      <c r="T82" s="22">
        <f t="shared" si="29"/>
        <v>0</v>
      </c>
    </row>
    <row r="83" spans="1:20">
      <c r="A83" s="10">
        <v>79</v>
      </c>
      <c r="B83" s="23" t="s">
        <v>166</v>
      </c>
      <c r="C83" s="24" t="s">
        <v>167</v>
      </c>
      <c r="D83" s="25" t="s">
        <v>26</v>
      </c>
      <c r="E83" s="25">
        <v>50.1</v>
      </c>
      <c r="F83" s="14"/>
      <c r="G83" s="14">
        <v>32</v>
      </c>
      <c r="H83" s="14"/>
      <c r="I83" s="14">
        <v>39.48</v>
      </c>
      <c r="J83" s="14"/>
      <c r="K83" s="14"/>
      <c r="L83" s="10"/>
      <c r="M83" s="14"/>
      <c r="N83" s="12"/>
      <c r="O83" s="14">
        <f t="shared" si="27"/>
        <v>121.58</v>
      </c>
      <c r="P83" s="12"/>
      <c r="Q83" s="12"/>
      <c r="R83" s="12"/>
      <c r="S83" s="22">
        <f t="shared" si="28"/>
        <v>0</v>
      </c>
      <c r="T83" s="22">
        <f t="shared" si="29"/>
        <v>0</v>
      </c>
    </row>
    <row r="84" ht="36" spans="1:20">
      <c r="A84" s="10">
        <v>80</v>
      </c>
      <c r="B84" s="23" t="s">
        <v>168</v>
      </c>
      <c r="C84" s="24" t="s">
        <v>169</v>
      </c>
      <c r="D84" s="25" t="s">
        <v>26</v>
      </c>
      <c r="E84" s="25">
        <v>1000</v>
      </c>
      <c r="F84" s="14"/>
      <c r="G84" s="14"/>
      <c r="H84" s="14"/>
      <c r="I84" s="14"/>
      <c r="J84" s="14"/>
      <c r="K84" s="14"/>
      <c r="L84" s="10"/>
      <c r="M84" s="14"/>
      <c r="N84" s="12"/>
      <c r="O84" s="14">
        <f t="shared" si="27"/>
        <v>1000</v>
      </c>
      <c r="P84" s="12"/>
      <c r="Q84" s="12"/>
      <c r="R84" s="12"/>
      <c r="S84" s="22">
        <f t="shared" si="28"/>
        <v>0</v>
      </c>
      <c r="T84" s="22">
        <f t="shared" si="29"/>
        <v>0</v>
      </c>
    </row>
    <row r="85" ht="36" spans="1:20">
      <c r="A85" s="10">
        <v>81</v>
      </c>
      <c r="B85" s="23" t="s">
        <v>170</v>
      </c>
      <c r="C85" s="24" t="s">
        <v>171</v>
      </c>
      <c r="D85" s="25" t="s">
        <v>26</v>
      </c>
      <c r="E85" s="25">
        <v>1000</v>
      </c>
      <c r="F85" s="14"/>
      <c r="G85" s="14"/>
      <c r="H85" s="14"/>
      <c r="I85" s="14"/>
      <c r="J85" s="14"/>
      <c r="K85" s="14"/>
      <c r="L85" s="10"/>
      <c r="M85" s="14"/>
      <c r="N85" s="12"/>
      <c r="O85" s="14">
        <f t="shared" si="27"/>
        <v>1000</v>
      </c>
      <c r="P85" s="12"/>
      <c r="Q85" s="12"/>
      <c r="R85" s="12"/>
      <c r="S85" s="22">
        <f t="shared" si="28"/>
        <v>0</v>
      </c>
      <c r="T85" s="22">
        <f t="shared" si="29"/>
        <v>0</v>
      </c>
    </row>
    <row r="86" ht="60" spans="1:20">
      <c r="A86" s="10">
        <v>82</v>
      </c>
      <c r="B86" s="23" t="s">
        <v>172</v>
      </c>
      <c r="C86" s="24" t="s">
        <v>173</v>
      </c>
      <c r="D86" s="25" t="s">
        <v>119</v>
      </c>
      <c r="E86" s="13"/>
      <c r="F86" s="14">
        <v>378</v>
      </c>
      <c r="G86" s="14"/>
      <c r="H86" s="14"/>
      <c r="I86" s="14"/>
      <c r="J86" s="14"/>
      <c r="K86" s="14"/>
      <c r="L86" s="10"/>
      <c r="M86" s="14"/>
      <c r="N86" s="12"/>
      <c r="O86" s="14">
        <f t="shared" si="27"/>
        <v>378</v>
      </c>
      <c r="P86" s="12"/>
      <c r="Q86" s="12"/>
      <c r="R86" s="12"/>
      <c r="S86" s="22">
        <f t="shared" si="28"/>
        <v>0</v>
      </c>
      <c r="T86" s="22">
        <f t="shared" si="29"/>
        <v>0</v>
      </c>
    </row>
    <row r="87" ht="24" spans="1:20">
      <c r="A87" s="10">
        <v>83</v>
      </c>
      <c r="B87" s="36" t="s">
        <v>174</v>
      </c>
      <c r="C87" s="37" t="s">
        <v>175</v>
      </c>
      <c r="D87" s="38" t="s">
        <v>126</v>
      </c>
      <c r="E87" s="39"/>
      <c r="F87" s="40">
        <v>8</v>
      </c>
      <c r="G87" s="40"/>
      <c r="H87" s="40"/>
      <c r="I87" s="40"/>
      <c r="J87" s="40"/>
      <c r="K87" s="40"/>
      <c r="L87" s="41"/>
      <c r="M87" s="40"/>
      <c r="N87" s="42"/>
      <c r="O87" s="40">
        <f t="shared" si="27"/>
        <v>8</v>
      </c>
      <c r="P87" s="42"/>
      <c r="Q87" s="42"/>
      <c r="R87" s="42"/>
      <c r="S87" s="43">
        <f t="shared" si="28"/>
        <v>0</v>
      </c>
      <c r="T87" s="43">
        <f t="shared" si="29"/>
        <v>0</v>
      </c>
    </row>
    <row r="88" ht="24" spans="1:20">
      <c r="A88" s="10">
        <v>84</v>
      </c>
      <c r="B88" s="24" t="s">
        <v>176</v>
      </c>
      <c r="C88" s="24" t="s">
        <v>177</v>
      </c>
      <c r="D88" s="23" t="s">
        <v>119</v>
      </c>
      <c r="E88" s="13"/>
      <c r="F88" s="14"/>
      <c r="G88" s="14"/>
      <c r="H88" s="14">
        <v>35</v>
      </c>
      <c r="I88" s="14">
        <v>32.6</v>
      </c>
      <c r="J88" s="14"/>
      <c r="K88" s="14"/>
      <c r="L88" s="10"/>
      <c r="M88" s="14"/>
      <c r="N88" s="12"/>
      <c r="O88" s="14">
        <f t="shared" si="27"/>
        <v>67.6</v>
      </c>
      <c r="P88" s="12"/>
      <c r="Q88" s="12"/>
      <c r="R88" s="12"/>
      <c r="S88" s="22">
        <f t="shared" si="28"/>
        <v>0</v>
      </c>
      <c r="T88" s="22">
        <f t="shared" si="29"/>
        <v>0</v>
      </c>
    </row>
    <row r="89" ht="84" spans="1:20">
      <c r="A89" s="10">
        <v>85</v>
      </c>
      <c r="B89" s="24" t="s">
        <v>36</v>
      </c>
      <c r="C89" s="24" t="s">
        <v>178</v>
      </c>
      <c r="D89" s="25" t="s">
        <v>26</v>
      </c>
      <c r="E89" s="13"/>
      <c r="F89" s="14"/>
      <c r="G89" s="14"/>
      <c r="H89" s="14"/>
      <c r="I89" s="14"/>
      <c r="J89" s="14"/>
      <c r="K89" s="14"/>
      <c r="L89" s="10"/>
      <c r="M89" s="25">
        <f>200.05+380.73</f>
        <v>580.78</v>
      </c>
      <c r="N89" s="12"/>
      <c r="O89" s="14">
        <f t="shared" si="27"/>
        <v>580.78</v>
      </c>
      <c r="P89" s="12"/>
      <c r="Q89" s="12"/>
      <c r="R89" s="12"/>
      <c r="S89" s="22">
        <f t="shared" si="28"/>
        <v>0</v>
      </c>
      <c r="T89" s="22">
        <f t="shared" si="29"/>
        <v>0</v>
      </c>
    </row>
    <row r="90" ht="84" spans="1:20">
      <c r="A90" s="10">
        <v>86</v>
      </c>
      <c r="B90" s="24" t="s">
        <v>36</v>
      </c>
      <c r="C90" s="24" t="s">
        <v>179</v>
      </c>
      <c r="D90" s="25" t="s">
        <v>26</v>
      </c>
      <c r="E90" s="13"/>
      <c r="F90" s="14"/>
      <c r="G90" s="14"/>
      <c r="H90" s="14"/>
      <c r="I90" s="14"/>
      <c r="J90" s="14"/>
      <c r="K90" s="14"/>
      <c r="L90" s="10"/>
      <c r="M90" s="25">
        <v>389.4</v>
      </c>
      <c r="N90" s="12"/>
      <c r="O90" s="14">
        <f t="shared" si="27"/>
        <v>389.4</v>
      </c>
      <c r="P90" s="12"/>
      <c r="Q90" s="12"/>
      <c r="R90" s="12"/>
      <c r="S90" s="22">
        <f t="shared" si="28"/>
        <v>0</v>
      </c>
      <c r="T90" s="22">
        <f t="shared" si="29"/>
        <v>0</v>
      </c>
    </row>
    <row r="91" ht="65" customHeight="1" spans="1:20">
      <c r="A91" s="10">
        <v>87</v>
      </c>
      <c r="B91" s="24" t="s">
        <v>180</v>
      </c>
      <c r="C91" s="24" t="s">
        <v>181</v>
      </c>
      <c r="D91" s="25" t="s">
        <v>26</v>
      </c>
      <c r="E91" s="13"/>
      <c r="F91" s="14"/>
      <c r="G91" s="14"/>
      <c r="H91" s="14"/>
      <c r="I91" s="14"/>
      <c r="J91" s="14"/>
      <c r="K91" s="14"/>
      <c r="L91" s="10"/>
      <c r="M91" s="25">
        <f>435.96+12363.11+144.75</f>
        <v>12943.82</v>
      </c>
      <c r="N91" s="12"/>
      <c r="O91" s="14">
        <f t="shared" si="27"/>
        <v>12943.82</v>
      </c>
      <c r="P91" s="12"/>
      <c r="Q91" s="12"/>
      <c r="R91" s="12"/>
      <c r="S91" s="22">
        <f t="shared" si="28"/>
        <v>0</v>
      </c>
      <c r="T91" s="22">
        <f t="shared" si="29"/>
        <v>0</v>
      </c>
    </row>
    <row r="92" ht="72" spans="1:20">
      <c r="A92" s="10">
        <v>88</v>
      </c>
      <c r="B92" s="24" t="s">
        <v>182</v>
      </c>
      <c r="C92" s="24" t="s">
        <v>183</v>
      </c>
      <c r="D92" s="25" t="s">
        <v>26</v>
      </c>
      <c r="E92" s="13"/>
      <c r="F92" s="14"/>
      <c r="G92" s="14"/>
      <c r="H92" s="14"/>
      <c r="I92" s="14"/>
      <c r="J92" s="14"/>
      <c r="K92" s="14"/>
      <c r="L92" s="10"/>
      <c r="M92" s="25">
        <v>195.24</v>
      </c>
      <c r="N92" s="12"/>
      <c r="O92" s="14">
        <f t="shared" si="27"/>
        <v>195.24</v>
      </c>
      <c r="P92" s="12"/>
      <c r="Q92" s="12"/>
      <c r="R92" s="12"/>
      <c r="S92" s="22">
        <f t="shared" si="28"/>
        <v>0</v>
      </c>
      <c r="T92" s="22">
        <f t="shared" si="29"/>
        <v>0</v>
      </c>
    </row>
    <row r="93" ht="60" spans="1:20">
      <c r="A93" s="10">
        <v>89</v>
      </c>
      <c r="B93" s="24" t="s">
        <v>184</v>
      </c>
      <c r="C93" s="24" t="s">
        <v>185</v>
      </c>
      <c r="D93" s="25" t="s">
        <v>26</v>
      </c>
      <c r="E93" s="13"/>
      <c r="F93" s="14"/>
      <c r="G93" s="14"/>
      <c r="H93" s="14"/>
      <c r="I93" s="14"/>
      <c r="J93" s="14"/>
      <c r="K93" s="14"/>
      <c r="L93" s="10"/>
      <c r="M93" s="25">
        <v>291.46</v>
      </c>
      <c r="N93" s="12"/>
      <c r="O93" s="14">
        <f t="shared" si="27"/>
        <v>291.46</v>
      </c>
      <c r="P93" s="12"/>
      <c r="Q93" s="12"/>
      <c r="R93" s="12"/>
      <c r="S93" s="22">
        <f t="shared" si="28"/>
        <v>0</v>
      </c>
      <c r="T93" s="22">
        <f t="shared" si="29"/>
        <v>0</v>
      </c>
    </row>
    <row r="94" ht="84" spans="1:20">
      <c r="A94" s="10">
        <v>90</v>
      </c>
      <c r="B94" s="24" t="s">
        <v>186</v>
      </c>
      <c r="C94" s="24" t="s">
        <v>187</v>
      </c>
      <c r="D94" s="25" t="s">
        <v>26</v>
      </c>
      <c r="E94" s="13"/>
      <c r="F94" s="14"/>
      <c r="G94" s="14"/>
      <c r="H94" s="14"/>
      <c r="I94" s="14"/>
      <c r="J94" s="14"/>
      <c r="K94" s="14"/>
      <c r="L94" s="10"/>
      <c r="M94" s="25">
        <v>197.33</v>
      </c>
      <c r="N94" s="12"/>
      <c r="O94" s="14">
        <f t="shared" si="27"/>
        <v>197.33</v>
      </c>
      <c r="P94" s="12"/>
      <c r="Q94" s="12"/>
      <c r="R94" s="12"/>
      <c r="S94" s="22">
        <f t="shared" si="28"/>
        <v>0</v>
      </c>
      <c r="T94" s="22">
        <f t="shared" si="29"/>
        <v>0</v>
      </c>
    </row>
    <row r="95" ht="84" spans="1:20">
      <c r="A95" s="10">
        <v>91</v>
      </c>
      <c r="B95" s="24" t="s">
        <v>188</v>
      </c>
      <c r="C95" s="24" t="s">
        <v>189</v>
      </c>
      <c r="D95" s="25" t="s">
        <v>26</v>
      </c>
      <c r="E95" s="13"/>
      <c r="F95" s="14"/>
      <c r="G95" s="14"/>
      <c r="H95" s="14"/>
      <c r="I95" s="14"/>
      <c r="J95" s="14"/>
      <c r="K95" s="14"/>
      <c r="L95" s="10"/>
      <c r="M95" s="14">
        <f>589.1+394.8</f>
        <v>983.9</v>
      </c>
      <c r="N95" s="12"/>
      <c r="O95" s="14">
        <f t="shared" si="27"/>
        <v>983.9</v>
      </c>
      <c r="P95" s="12"/>
      <c r="Q95" s="12"/>
      <c r="R95" s="12"/>
      <c r="S95" s="22">
        <f t="shared" si="28"/>
        <v>0</v>
      </c>
      <c r="T95" s="22">
        <f t="shared" si="29"/>
        <v>0</v>
      </c>
    </row>
    <row r="96" ht="60" spans="1:20">
      <c r="A96" s="10">
        <v>92</v>
      </c>
      <c r="B96" s="24" t="s">
        <v>56</v>
      </c>
      <c r="C96" s="24" t="s">
        <v>190</v>
      </c>
      <c r="D96" s="25" t="s">
        <v>26</v>
      </c>
      <c r="E96" s="13"/>
      <c r="F96" s="14"/>
      <c r="G96" s="14"/>
      <c r="H96" s="14"/>
      <c r="I96" s="14"/>
      <c r="J96" s="14"/>
      <c r="K96" s="14"/>
      <c r="L96" s="10"/>
      <c r="M96" s="14">
        <v>41.88</v>
      </c>
      <c r="N96" s="12"/>
      <c r="O96" s="14">
        <f t="shared" si="27"/>
        <v>41.88</v>
      </c>
      <c r="P96" s="12"/>
      <c r="Q96" s="12"/>
      <c r="R96" s="12"/>
      <c r="S96" s="22">
        <f t="shared" si="28"/>
        <v>0</v>
      </c>
      <c r="T96" s="22">
        <f t="shared" si="29"/>
        <v>0</v>
      </c>
    </row>
    <row r="97" ht="48" spans="1:20">
      <c r="A97" s="10">
        <v>93</v>
      </c>
      <c r="B97" s="24" t="s">
        <v>191</v>
      </c>
      <c r="C97" s="24" t="s">
        <v>192</v>
      </c>
      <c r="D97" s="25" t="s">
        <v>26</v>
      </c>
      <c r="E97" s="13"/>
      <c r="F97" s="14"/>
      <c r="G97" s="14"/>
      <c r="H97" s="14"/>
      <c r="I97" s="14"/>
      <c r="J97" s="14"/>
      <c r="K97" s="14"/>
      <c r="L97" s="10"/>
      <c r="M97" s="25">
        <v>20.16</v>
      </c>
      <c r="N97" s="12"/>
      <c r="O97" s="14">
        <f t="shared" si="27"/>
        <v>20.16</v>
      </c>
      <c r="P97" s="12"/>
      <c r="Q97" s="12"/>
      <c r="R97" s="12"/>
      <c r="S97" s="22">
        <f t="shared" si="28"/>
        <v>0</v>
      </c>
      <c r="T97" s="22">
        <f t="shared" si="29"/>
        <v>0</v>
      </c>
    </row>
    <row r="98" ht="24" spans="1:20">
      <c r="A98" s="10">
        <v>94</v>
      </c>
      <c r="B98" s="24" t="s">
        <v>193</v>
      </c>
      <c r="C98" s="24" t="s">
        <v>194</v>
      </c>
      <c r="D98" s="25" t="s">
        <v>26</v>
      </c>
      <c r="E98" s="13"/>
      <c r="F98" s="14"/>
      <c r="G98" s="14"/>
      <c r="H98" s="14"/>
      <c r="I98" s="14"/>
      <c r="J98" s="14"/>
      <c r="K98" s="14"/>
      <c r="L98" s="10"/>
      <c r="M98" s="25">
        <v>57.34</v>
      </c>
      <c r="N98" s="12"/>
      <c r="O98" s="14">
        <f t="shared" si="27"/>
        <v>57.34</v>
      </c>
      <c r="P98" s="12"/>
      <c r="Q98" s="12"/>
      <c r="R98" s="12"/>
      <c r="S98" s="22">
        <f t="shared" si="28"/>
        <v>0</v>
      </c>
      <c r="T98" s="22">
        <f t="shared" si="29"/>
        <v>0</v>
      </c>
    </row>
    <row r="99" ht="96" spans="1:20">
      <c r="A99" s="10">
        <v>95</v>
      </c>
      <c r="B99" s="24" t="s">
        <v>195</v>
      </c>
      <c r="C99" s="24" t="s">
        <v>196</v>
      </c>
      <c r="D99" s="25" t="s">
        <v>26</v>
      </c>
      <c r="E99" s="13"/>
      <c r="F99" s="14"/>
      <c r="G99" s="14"/>
      <c r="H99" s="14"/>
      <c r="I99" s="14"/>
      <c r="J99" s="14"/>
      <c r="K99" s="14"/>
      <c r="L99" s="10"/>
      <c r="M99" s="25">
        <v>7701.1</v>
      </c>
      <c r="N99" s="12"/>
      <c r="O99" s="14">
        <f t="shared" si="27"/>
        <v>7701.1</v>
      </c>
      <c r="P99" s="12"/>
      <c r="Q99" s="12"/>
      <c r="R99" s="12"/>
      <c r="S99" s="22">
        <f t="shared" si="28"/>
        <v>0</v>
      </c>
      <c r="T99" s="22">
        <f t="shared" si="29"/>
        <v>0</v>
      </c>
    </row>
    <row r="100" ht="72" spans="1:20">
      <c r="A100" s="10">
        <v>96</v>
      </c>
      <c r="B100" s="44" t="s">
        <v>197</v>
      </c>
      <c r="C100" s="44" t="s">
        <v>198</v>
      </c>
      <c r="D100" s="45" t="s">
        <v>26</v>
      </c>
      <c r="E100" s="13"/>
      <c r="F100" s="14"/>
      <c r="G100" s="14"/>
      <c r="H100" s="14"/>
      <c r="I100" s="14"/>
      <c r="J100" s="14"/>
      <c r="K100" s="14"/>
      <c r="L100" s="10"/>
      <c r="M100" s="25">
        <v>261.11</v>
      </c>
      <c r="N100" s="12"/>
      <c r="O100" s="14">
        <f t="shared" si="27"/>
        <v>261.11</v>
      </c>
      <c r="P100" s="12"/>
      <c r="Q100" s="12"/>
      <c r="R100" s="12"/>
      <c r="S100" s="22">
        <f t="shared" si="28"/>
        <v>0</v>
      </c>
      <c r="T100" s="22">
        <f t="shared" si="29"/>
        <v>0</v>
      </c>
    </row>
    <row r="101" ht="60" spans="1:20">
      <c r="A101" s="10">
        <v>97</v>
      </c>
      <c r="B101" s="44" t="s">
        <v>199</v>
      </c>
      <c r="C101" s="44" t="s">
        <v>200</v>
      </c>
      <c r="D101" s="45" t="s">
        <v>26</v>
      </c>
      <c r="E101" s="13"/>
      <c r="F101" s="14"/>
      <c r="G101" s="14"/>
      <c r="H101" s="14"/>
      <c r="I101" s="14"/>
      <c r="J101" s="14"/>
      <c r="K101" s="14"/>
      <c r="L101" s="10"/>
      <c r="M101" s="25">
        <v>354.85</v>
      </c>
      <c r="N101" s="12"/>
      <c r="O101" s="14">
        <f t="shared" si="27"/>
        <v>354.85</v>
      </c>
      <c r="P101" s="12"/>
      <c r="Q101" s="12"/>
      <c r="R101" s="12"/>
      <c r="S101" s="22">
        <f t="shared" si="28"/>
        <v>0</v>
      </c>
      <c r="T101" s="22">
        <f t="shared" si="29"/>
        <v>0</v>
      </c>
    </row>
    <row r="102" ht="24" spans="1:20">
      <c r="A102" s="10">
        <v>98</v>
      </c>
      <c r="B102" s="44" t="s">
        <v>201</v>
      </c>
      <c r="C102" s="44" t="s">
        <v>202</v>
      </c>
      <c r="D102" s="45" t="s">
        <v>26</v>
      </c>
      <c r="E102" s="13"/>
      <c r="F102" s="14"/>
      <c r="G102" s="14"/>
      <c r="H102" s="14"/>
      <c r="I102" s="14"/>
      <c r="J102" s="14"/>
      <c r="K102" s="14"/>
      <c r="L102" s="10"/>
      <c r="M102" s="25">
        <v>2323.45</v>
      </c>
      <c r="N102" s="12"/>
      <c r="O102" s="14">
        <f t="shared" si="27"/>
        <v>2323.45</v>
      </c>
      <c r="P102" s="12"/>
      <c r="Q102" s="12"/>
      <c r="R102" s="12"/>
      <c r="S102" s="22">
        <f t="shared" si="28"/>
        <v>0</v>
      </c>
      <c r="T102" s="22">
        <f t="shared" si="29"/>
        <v>0</v>
      </c>
    </row>
    <row r="103" ht="84" spans="1:20">
      <c r="A103" s="10">
        <v>99</v>
      </c>
      <c r="B103" s="44" t="s">
        <v>203</v>
      </c>
      <c r="C103" s="44" t="s">
        <v>204</v>
      </c>
      <c r="D103" s="45" t="s">
        <v>26</v>
      </c>
      <c r="E103" s="13"/>
      <c r="F103" s="14"/>
      <c r="G103" s="14"/>
      <c r="H103" s="14"/>
      <c r="I103" s="14"/>
      <c r="J103" s="14"/>
      <c r="K103" s="14"/>
      <c r="L103" s="10"/>
      <c r="M103" s="25">
        <v>748.32</v>
      </c>
      <c r="N103" s="12"/>
      <c r="O103" s="14">
        <f t="shared" si="27"/>
        <v>748.32</v>
      </c>
      <c r="P103" s="12"/>
      <c r="Q103" s="12"/>
      <c r="R103" s="12"/>
      <c r="S103" s="22">
        <f t="shared" si="28"/>
        <v>0</v>
      </c>
      <c r="T103" s="22">
        <f t="shared" si="29"/>
        <v>0</v>
      </c>
    </row>
    <row r="104" ht="120" spans="1:20">
      <c r="A104" s="10">
        <v>100</v>
      </c>
      <c r="B104" s="44" t="s">
        <v>205</v>
      </c>
      <c r="C104" s="44" t="s">
        <v>206</v>
      </c>
      <c r="D104" s="45" t="s">
        <v>26</v>
      </c>
      <c r="E104" s="13"/>
      <c r="F104" s="14"/>
      <c r="G104" s="14"/>
      <c r="H104" s="14"/>
      <c r="I104" s="14"/>
      <c r="J104" s="14"/>
      <c r="K104" s="14"/>
      <c r="L104" s="10"/>
      <c r="M104" s="25">
        <v>1250.3</v>
      </c>
      <c r="N104" s="12"/>
      <c r="O104" s="14">
        <f t="shared" si="27"/>
        <v>1250.3</v>
      </c>
      <c r="P104" s="12"/>
      <c r="Q104" s="12"/>
      <c r="R104" s="12"/>
      <c r="S104" s="22">
        <f t="shared" si="28"/>
        <v>0</v>
      </c>
      <c r="T104" s="22">
        <f t="shared" si="29"/>
        <v>0</v>
      </c>
    </row>
    <row r="105" ht="84" spans="1:20">
      <c r="A105" s="10">
        <v>101</v>
      </c>
      <c r="B105" s="24" t="s">
        <v>207</v>
      </c>
      <c r="C105" s="24" t="s">
        <v>208</v>
      </c>
      <c r="D105" s="25" t="s">
        <v>26</v>
      </c>
      <c r="E105" s="13"/>
      <c r="F105" s="14"/>
      <c r="G105" s="14"/>
      <c r="H105" s="14"/>
      <c r="I105" s="14"/>
      <c r="J105" s="14"/>
      <c r="K105" s="14"/>
      <c r="L105" s="10"/>
      <c r="M105" s="25">
        <v>178</v>
      </c>
      <c r="N105" s="12"/>
      <c r="O105" s="14">
        <f t="shared" si="27"/>
        <v>178</v>
      </c>
      <c r="P105" s="12"/>
      <c r="Q105" s="12"/>
      <c r="R105" s="12"/>
      <c r="S105" s="22">
        <f t="shared" si="28"/>
        <v>0</v>
      </c>
      <c r="T105" s="22">
        <f t="shared" si="29"/>
        <v>0</v>
      </c>
    </row>
    <row r="106" ht="72" spans="1:20">
      <c r="A106" s="10">
        <v>102</v>
      </c>
      <c r="B106" s="24" t="s">
        <v>209</v>
      </c>
      <c r="C106" s="24" t="s">
        <v>210</v>
      </c>
      <c r="D106" s="25" t="s">
        <v>26</v>
      </c>
      <c r="E106" s="13"/>
      <c r="F106" s="14"/>
      <c r="G106" s="14"/>
      <c r="H106" s="14"/>
      <c r="I106" s="14"/>
      <c r="J106" s="14"/>
      <c r="K106" s="14"/>
      <c r="L106" s="10"/>
      <c r="M106" s="25">
        <v>16676.9</v>
      </c>
      <c r="N106" s="12"/>
      <c r="O106" s="14">
        <f t="shared" si="27"/>
        <v>16676.9</v>
      </c>
      <c r="P106" s="12"/>
      <c r="Q106" s="12"/>
      <c r="R106" s="12"/>
      <c r="S106" s="22">
        <f t="shared" si="28"/>
        <v>0</v>
      </c>
      <c r="T106" s="22">
        <f t="shared" si="29"/>
        <v>0</v>
      </c>
    </row>
    <row r="107" ht="84" spans="1:20">
      <c r="A107" s="10">
        <v>103</v>
      </c>
      <c r="B107" s="24" t="s">
        <v>211</v>
      </c>
      <c r="C107" s="24" t="s">
        <v>212</v>
      </c>
      <c r="D107" s="25" t="s">
        <v>26</v>
      </c>
      <c r="E107" s="13"/>
      <c r="F107" s="14"/>
      <c r="G107" s="14"/>
      <c r="H107" s="14"/>
      <c r="I107" s="14"/>
      <c r="J107" s="14"/>
      <c r="K107" s="14"/>
      <c r="L107" s="10"/>
      <c r="M107" s="25">
        <v>237.74</v>
      </c>
      <c r="N107" s="12"/>
      <c r="O107" s="14">
        <f t="shared" si="27"/>
        <v>237.74</v>
      </c>
      <c r="P107" s="12"/>
      <c r="Q107" s="12"/>
      <c r="R107" s="12"/>
      <c r="S107" s="22">
        <f t="shared" si="28"/>
        <v>0</v>
      </c>
      <c r="T107" s="22">
        <f t="shared" si="29"/>
        <v>0</v>
      </c>
    </row>
    <row r="108" ht="27" customHeight="1" spans="1:20">
      <c r="A108" s="10">
        <v>104</v>
      </c>
      <c r="B108" s="24" t="s">
        <v>213</v>
      </c>
      <c r="C108" s="24" t="s">
        <v>214</v>
      </c>
      <c r="D108" s="23" t="s">
        <v>26</v>
      </c>
      <c r="E108" s="13"/>
      <c r="F108" s="14"/>
      <c r="G108" s="14"/>
      <c r="H108" s="14"/>
      <c r="I108" s="14"/>
      <c r="J108" s="14"/>
      <c r="K108" s="14"/>
      <c r="L108" s="10"/>
      <c r="M108" s="25">
        <v>21.28</v>
      </c>
      <c r="N108" s="12"/>
      <c r="O108" s="14">
        <f t="shared" si="27"/>
        <v>21.28</v>
      </c>
      <c r="P108" s="12"/>
      <c r="Q108" s="12"/>
      <c r="R108" s="12"/>
      <c r="S108" s="22">
        <f t="shared" si="28"/>
        <v>0</v>
      </c>
      <c r="T108" s="22">
        <f t="shared" si="29"/>
        <v>0</v>
      </c>
    </row>
    <row r="109" ht="24" spans="1:20">
      <c r="A109" s="10">
        <v>105</v>
      </c>
      <c r="B109" s="24" t="s">
        <v>215</v>
      </c>
      <c r="C109" s="24" t="s">
        <v>216</v>
      </c>
      <c r="D109" s="23" t="s">
        <v>26</v>
      </c>
      <c r="E109" s="13"/>
      <c r="F109" s="14"/>
      <c r="G109" s="14"/>
      <c r="H109" s="14"/>
      <c r="I109" s="14"/>
      <c r="J109" s="14"/>
      <c r="K109" s="14"/>
      <c r="L109" s="10"/>
      <c r="M109" s="25">
        <v>53.5</v>
      </c>
      <c r="N109" s="12"/>
      <c r="O109" s="14">
        <f t="shared" si="27"/>
        <v>53.5</v>
      </c>
      <c r="P109" s="12"/>
      <c r="Q109" s="12"/>
      <c r="R109" s="12"/>
      <c r="S109" s="22">
        <f t="shared" ref="S109:S113" si="30">P109+Q109+R109</f>
        <v>0</v>
      </c>
      <c r="T109" s="22">
        <f t="shared" si="29"/>
        <v>0</v>
      </c>
    </row>
    <row r="110" ht="24" spans="1:20">
      <c r="A110" s="10">
        <v>106</v>
      </c>
      <c r="B110" s="24" t="s">
        <v>217</v>
      </c>
      <c r="C110" s="24" t="s">
        <v>218</v>
      </c>
      <c r="D110" s="23" t="s">
        <v>219</v>
      </c>
      <c r="E110" s="13"/>
      <c r="F110" s="14"/>
      <c r="G110" s="14"/>
      <c r="H110" s="14"/>
      <c r="I110" s="14"/>
      <c r="J110" s="14"/>
      <c r="K110" s="14"/>
      <c r="L110" s="10"/>
      <c r="M110" s="25">
        <v>407</v>
      </c>
      <c r="N110" s="12"/>
      <c r="O110" s="14">
        <f t="shared" si="27"/>
        <v>407</v>
      </c>
      <c r="P110" s="12"/>
      <c r="Q110" s="12"/>
      <c r="R110" s="12"/>
      <c r="S110" s="22">
        <f t="shared" si="30"/>
        <v>0</v>
      </c>
      <c r="T110" s="22">
        <f t="shared" si="29"/>
        <v>0</v>
      </c>
    </row>
    <row r="111" ht="24" spans="1:20">
      <c r="A111" s="10">
        <v>107</v>
      </c>
      <c r="B111" s="24" t="s">
        <v>217</v>
      </c>
      <c r="C111" s="24" t="s">
        <v>220</v>
      </c>
      <c r="D111" s="23" t="s">
        <v>219</v>
      </c>
      <c r="E111" s="13"/>
      <c r="F111" s="14"/>
      <c r="G111" s="14"/>
      <c r="H111" s="14"/>
      <c r="I111" s="14"/>
      <c r="J111" s="14"/>
      <c r="K111" s="14"/>
      <c r="L111" s="10"/>
      <c r="M111" s="25">
        <v>407</v>
      </c>
      <c r="N111" s="12"/>
      <c r="O111" s="14">
        <f t="shared" si="27"/>
        <v>407</v>
      </c>
      <c r="P111" s="12"/>
      <c r="Q111" s="12"/>
      <c r="R111" s="12"/>
      <c r="S111" s="22">
        <f t="shared" si="30"/>
        <v>0</v>
      </c>
      <c r="T111" s="22">
        <f t="shared" si="29"/>
        <v>0</v>
      </c>
    </row>
    <row r="112" ht="24" spans="1:20">
      <c r="A112" s="10">
        <v>108</v>
      </c>
      <c r="B112" s="24" t="s">
        <v>221</v>
      </c>
      <c r="C112" s="24" t="s">
        <v>222</v>
      </c>
      <c r="D112" s="23" t="s">
        <v>126</v>
      </c>
      <c r="E112" s="13"/>
      <c r="F112" s="14"/>
      <c r="G112" s="14"/>
      <c r="H112" s="14"/>
      <c r="I112" s="14"/>
      <c r="J112" s="14"/>
      <c r="K112" s="14"/>
      <c r="L112" s="10"/>
      <c r="M112" s="25">
        <v>252</v>
      </c>
      <c r="N112" s="12"/>
      <c r="O112" s="14">
        <f t="shared" si="27"/>
        <v>252</v>
      </c>
      <c r="P112" s="12"/>
      <c r="Q112" s="12"/>
      <c r="R112" s="12"/>
      <c r="S112" s="22">
        <f t="shared" si="30"/>
        <v>0</v>
      </c>
      <c r="T112" s="22">
        <f t="shared" si="29"/>
        <v>0</v>
      </c>
    </row>
    <row r="113" ht="22" customHeight="1" spans="1:20">
      <c r="A113" s="10">
        <v>109</v>
      </c>
      <c r="B113" s="24" t="s">
        <v>223</v>
      </c>
      <c r="C113" s="24" t="s">
        <v>223</v>
      </c>
      <c r="D113" s="23" t="s">
        <v>119</v>
      </c>
      <c r="E113" s="13"/>
      <c r="F113" s="14"/>
      <c r="G113" s="14"/>
      <c r="H113" s="14"/>
      <c r="I113" s="14"/>
      <c r="J113" s="14"/>
      <c r="K113" s="14"/>
      <c r="L113" s="10"/>
      <c r="M113" s="25">
        <v>42</v>
      </c>
      <c r="N113" s="12"/>
      <c r="O113" s="14">
        <f t="shared" si="27"/>
        <v>42</v>
      </c>
      <c r="P113" s="12"/>
      <c r="Q113" s="12"/>
      <c r="R113" s="12"/>
      <c r="S113" s="22">
        <f t="shared" si="30"/>
        <v>0</v>
      </c>
      <c r="T113" s="22">
        <f t="shared" si="29"/>
        <v>0</v>
      </c>
    </row>
    <row r="114" ht="21" customHeight="1" spans="1:20">
      <c r="A114" s="46" t="s">
        <v>224</v>
      </c>
      <c r="B114" s="47" t="s">
        <v>225</v>
      </c>
      <c r="C114" s="47"/>
      <c r="D114" s="47"/>
      <c r="E114" s="13"/>
      <c r="F114" s="14"/>
      <c r="G114" s="14"/>
      <c r="H114" s="14"/>
      <c r="I114" s="14"/>
      <c r="J114" s="14"/>
      <c r="K114" s="14"/>
      <c r="L114" s="10"/>
      <c r="M114" s="14"/>
      <c r="N114" s="12"/>
      <c r="O114" s="13"/>
      <c r="P114" s="12"/>
      <c r="Q114" s="12"/>
      <c r="R114" s="12"/>
      <c r="S114" s="48"/>
      <c r="T114" s="48"/>
    </row>
    <row r="115" ht="36" spans="1:20">
      <c r="A115" s="10">
        <v>1</v>
      </c>
      <c r="B115" s="24" t="s">
        <v>226</v>
      </c>
      <c r="C115" s="24" t="s">
        <v>227</v>
      </c>
      <c r="D115" s="25" t="s">
        <v>119</v>
      </c>
      <c r="E115" s="13"/>
      <c r="F115" s="14"/>
      <c r="G115" s="14"/>
      <c r="H115" s="14"/>
      <c r="I115" s="14"/>
      <c r="J115" s="14"/>
      <c r="K115" s="14"/>
      <c r="L115" s="10"/>
      <c r="M115" s="14"/>
      <c r="N115" s="25">
        <v>1118.6</v>
      </c>
      <c r="O115" s="14">
        <f t="shared" ref="O115:O123" si="31">SUM(E115:N115)</f>
        <v>1118.6</v>
      </c>
      <c r="P115" s="12"/>
      <c r="Q115" s="12"/>
      <c r="R115" s="12"/>
      <c r="S115" s="22">
        <f t="shared" ref="S115:S149" si="32">P115+Q115+R115</f>
        <v>0</v>
      </c>
      <c r="T115" s="22">
        <f t="shared" ref="T115:T149" si="33">O115*S115</f>
        <v>0</v>
      </c>
    </row>
    <row r="116" ht="36" spans="1:20">
      <c r="A116" s="10">
        <v>2</v>
      </c>
      <c r="B116" s="24" t="s">
        <v>228</v>
      </c>
      <c r="C116" s="24" t="s">
        <v>229</v>
      </c>
      <c r="D116" s="25" t="s">
        <v>26</v>
      </c>
      <c r="E116" s="13"/>
      <c r="F116" s="14"/>
      <c r="G116" s="14"/>
      <c r="H116" s="14"/>
      <c r="I116" s="14"/>
      <c r="J116" s="14"/>
      <c r="K116" s="14"/>
      <c r="L116" s="10"/>
      <c r="M116" s="14"/>
      <c r="N116" s="25">
        <v>22.82</v>
      </c>
      <c r="O116" s="14">
        <f t="shared" si="31"/>
        <v>22.82</v>
      </c>
      <c r="P116" s="12"/>
      <c r="Q116" s="12"/>
      <c r="R116" s="12"/>
      <c r="S116" s="22">
        <f t="shared" si="32"/>
        <v>0</v>
      </c>
      <c r="T116" s="22">
        <f t="shared" si="33"/>
        <v>0</v>
      </c>
    </row>
    <row r="117" ht="120" spans="1:20">
      <c r="A117" s="10">
        <v>3</v>
      </c>
      <c r="B117" s="24" t="s">
        <v>226</v>
      </c>
      <c r="C117" s="24" t="s">
        <v>230</v>
      </c>
      <c r="D117" s="25" t="s">
        <v>119</v>
      </c>
      <c r="E117" s="13"/>
      <c r="F117" s="14"/>
      <c r="G117" s="14"/>
      <c r="H117" s="14"/>
      <c r="I117" s="14"/>
      <c r="J117" s="14"/>
      <c r="K117" s="14"/>
      <c r="L117" s="10"/>
      <c r="M117" s="14"/>
      <c r="N117" s="25">
        <v>29.2</v>
      </c>
      <c r="O117" s="14">
        <f t="shared" si="31"/>
        <v>29.2</v>
      </c>
      <c r="P117" s="12"/>
      <c r="Q117" s="12"/>
      <c r="R117" s="12"/>
      <c r="S117" s="22">
        <f t="shared" si="32"/>
        <v>0</v>
      </c>
      <c r="T117" s="22">
        <f t="shared" si="33"/>
        <v>0</v>
      </c>
    </row>
    <row r="118" ht="36" spans="1:20">
      <c r="A118" s="10">
        <v>4</v>
      </c>
      <c r="B118" s="24" t="s">
        <v>143</v>
      </c>
      <c r="C118" s="24" t="s">
        <v>231</v>
      </c>
      <c r="D118" s="25" t="s">
        <v>119</v>
      </c>
      <c r="E118" s="13"/>
      <c r="F118" s="14"/>
      <c r="G118" s="14"/>
      <c r="H118" s="14"/>
      <c r="I118" s="14"/>
      <c r="J118" s="14"/>
      <c r="K118" s="14"/>
      <c r="L118" s="10"/>
      <c r="M118" s="14"/>
      <c r="N118" s="25">
        <v>28.8</v>
      </c>
      <c r="O118" s="14">
        <f t="shared" si="31"/>
        <v>28.8</v>
      </c>
      <c r="P118" s="12"/>
      <c r="Q118" s="12"/>
      <c r="R118" s="12"/>
      <c r="S118" s="22">
        <f t="shared" si="32"/>
        <v>0</v>
      </c>
      <c r="T118" s="22">
        <f t="shared" si="33"/>
        <v>0</v>
      </c>
    </row>
    <row r="119" ht="24" spans="1:20">
      <c r="A119" s="10">
        <v>5</v>
      </c>
      <c r="B119" s="24" t="s">
        <v>232</v>
      </c>
      <c r="C119" s="24" t="s">
        <v>233</v>
      </c>
      <c r="D119" s="23" t="s">
        <v>234</v>
      </c>
      <c r="E119" s="13"/>
      <c r="F119" s="14"/>
      <c r="G119" s="14"/>
      <c r="H119" s="14"/>
      <c r="I119" s="14"/>
      <c r="J119" s="14"/>
      <c r="K119" s="14"/>
      <c r="L119" s="10"/>
      <c r="M119" s="14"/>
      <c r="N119" s="25">
        <v>8887.5</v>
      </c>
      <c r="O119" s="14">
        <f t="shared" si="31"/>
        <v>8887.5</v>
      </c>
      <c r="P119" s="12"/>
      <c r="Q119" s="12"/>
      <c r="R119" s="12"/>
      <c r="S119" s="22">
        <f t="shared" si="32"/>
        <v>0</v>
      </c>
      <c r="T119" s="22">
        <f t="shared" si="33"/>
        <v>0</v>
      </c>
    </row>
    <row r="120" ht="24" spans="1:20">
      <c r="A120" s="10">
        <v>6</v>
      </c>
      <c r="B120" s="24" t="s">
        <v>235</v>
      </c>
      <c r="C120" s="24" t="s">
        <v>236</v>
      </c>
      <c r="D120" s="23" t="s">
        <v>234</v>
      </c>
      <c r="E120" s="13"/>
      <c r="F120" s="14"/>
      <c r="G120" s="14"/>
      <c r="H120" s="14"/>
      <c r="I120" s="14"/>
      <c r="J120" s="14"/>
      <c r="K120" s="14"/>
      <c r="L120" s="10"/>
      <c r="M120" s="14"/>
      <c r="N120" s="25">
        <v>2097.8</v>
      </c>
      <c r="O120" s="14">
        <f t="shared" si="31"/>
        <v>2097.8</v>
      </c>
      <c r="P120" s="12"/>
      <c r="Q120" s="12"/>
      <c r="R120" s="12"/>
      <c r="S120" s="22">
        <f t="shared" si="32"/>
        <v>0</v>
      </c>
      <c r="T120" s="22">
        <f t="shared" si="33"/>
        <v>0</v>
      </c>
    </row>
    <row r="121" spans="1:20">
      <c r="A121" s="10">
        <v>7</v>
      </c>
      <c r="B121" s="24" t="s">
        <v>237</v>
      </c>
      <c r="C121" s="24" t="s">
        <v>238</v>
      </c>
      <c r="D121" s="23" t="s">
        <v>234</v>
      </c>
      <c r="E121" s="13"/>
      <c r="F121" s="14"/>
      <c r="G121" s="14"/>
      <c r="H121" s="14"/>
      <c r="I121" s="14"/>
      <c r="J121" s="14"/>
      <c r="K121" s="14"/>
      <c r="L121" s="10"/>
      <c r="M121" s="14"/>
      <c r="N121" s="25">
        <v>838.8</v>
      </c>
      <c r="O121" s="14">
        <f t="shared" si="31"/>
        <v>838.8</v>
      </c>
      <c r="P121" s="12"/>
      <c r="Q121" s="12"/>
      <c r="R121" s="12"/>
      <c r="S121" s="22">
        <f t="shared" si="32"/>
        <v>0</v>
      </c>
      <c r="T121" s="22">
        <f t="shared" si="33"/>
        <v>0</v>
      </c>
    </row>
    <row r="122" ht="24" spans="1:20">
      <c r="A122" s="10">
        <v>8</v>
      </c>
      <c r="B122" s="24" t="s">
        <v>239</v>
      </c>
      <c r="C122" s="24" t="s">
        <v>240</v>
      </c>
      <c r="D122" s="25" t="s">
        <v>234</v>
      </c>
      <c r="E122" s="13"/>
      <c r="F122" s="14"/>
      <c r="G122" s="14"/>
      <c r="H122" s="14"/>
      <c r="I122" s="14"/>
      <c r="J122" s="14"/>
      <c r="K122" s="14"/>
      <c r="L122" s="10"/>
      <c r="M122" s="14"/>
      <c r="N122" s="25">
        <v>1265.79</v>
      </c>
      <c r="O122" s="14">
        <f t="shared" si="31"/>
        <v>1265.79</v>
      </c>
      <c r="P122" s="12"/>
      <c r="Q122" s="12"/>
      <c r="R122" s="12"/>
      <c r="S122" s="22">
        <f t="shared" si="32"/>
        <v>0</v>
      </c>
      <c r="T122" s="22">
        <f t="shared" si="33"/>
        <v>0</v>
      </c>
    </row>
    <row r="123" ht="24" spans="1:20">
      <c r="A123" s="10">
        <v>9</v>
      </c>
      <c r="B123" s="24" t="s">
        <v>241</v>
      </c>
      <c r="C123" s="24" t="s">
        <v>242</v>
      </c>
      <c r="D123" s="25" t="s">
        <v>234</v>
      </c>
      <c r="E123" s="13"/>
      <c r="F123" s="14"/>
      <c r="G123" s="14"/>
      <c r="H123" s="14"/>
      <c r="I123" s="14"/>
      <c r="J123" s="14"/>
      <c r="K123" s="14"/>
      <c r="L123" s="10"/>
      <c r="M123" s="14"/>
      <c r="N123" s="25">
        <f>1229.82+1201.03</f>
        <v>2430.85</v>
      </c>
      <c r="O123" s="14">
        <f t="shared" si="31"/>
        <v>2430.85</v>
      </c>
      <c r="P123" s="12"/>
      <c r="Q123" s="12"/>
      <c r="R123" s="12"/>
      <c r="S123" s="22">
        <f t="shared" si="32"/>
        <v>0</v>
      </c>
      <c r="T123" s="22">
        <f t="shared" si="33"/>
        <v>0</v>
      </c>
    </row>
    <row r="124" ht="120" spans="1:20">
      <c r="A124" s="10">
        <v>10</v>
      </c>
      <c r="B124" s="24" t="s">
        <v>243</v>
      </c>
      <c r="C124" s="24" t="s">
        <v>244</v>
      </c>
      <c r="D124" s="25" t="s">
        <v>26</v>
      </c>
      <c r="E124" s="13"/>
      <c r="F124" s="14"/>
      <c r="G124" s="14"/>
      <c r="H124" s="14"/>
      <c r="I124" s="14"/>
      <c r="J124" s="14"/>
      <c r="K124" s="14"/>
      <c r="L124" s="10"/>
      <c r="M124" s="14"/>
      <c r="N124" s="25">
        <v>6511.14</v>
      </c>
      <c r="O124" s="14">
        <f t="shared" ref="O124:O158" si="34">SUM(E124:N124)</f>
        <v>6511.14</v>
      </c>
      <c r="P124" s="12"/>
      <c r="Q124" s="12"/>
      <c r="R124" s="12"/>
      <c r="S124" s="22">
        <f t="shared" si="32"/>
        <v>0</v>
      </c>
      <c r="T124" s="22">
        <f t="shared" si="33"/>
        <v>0</v>
      </c>
    </row>
    <row r="125" ht="120" spans="1:20">
      <c r="A125" s="10">
        <v>11</v>
      </c>
      <c r="B125" s="24" t="s">
        <v>243</v>
      </c>
      <c r="C125" s="24" t="s">
        <v>245</v>
      </c>
      <c r="D125" s="25" t="s">
        <v>234</v>
      </c>
      <c r="E125" s="13"/>
      <c r="F125" s="14"/>
      <c r="G125" s="14"/>
      <c r="H125" s="14"/>
      <c r="I125" s="14"/>
      <c r="J125" s="14"/>
      <c r="K125" s="14"/>
      <c r="L125" s="10"/>
      <c r="M125" s="14"/>
      <c r="N125" s="25">
        <v>416.37</v>
      </c>
      <c r="O125" s="14">
        <f t="shared" si="34"/>
        <v>416.37</v>
      </c>
      <c r="P125" s="12"/>
      <c r="Q125" s="12"/>
      <c r="R125" s="12"/>
      <c r="S125" s="22">
        <f t="shared" si="32"/>
        <v>0</v>
      </c>
      <c r="T125" s="22">
        <f t="shared" si="33"/>
        <v>0</v>
      </c>
    </row>
    <row r="126" ht="36" spans="1:20">
      <c r="A126" s="10">
        <v>12</v>
      </c>
      <c r="B126" s="24" t="s">
        <v>246</v>
      </c>
      <c r="C126" s="24" t="s">
        <v>247</v>
      </c>
      <c r="D126" s="23" t="s">
        <v>26</v>
      </c>
      <c r="E126" s="13"/>
      <c r="F126" s="14"/>
      <c r="G126" s="14"/>
      <c r="H126" s="14"/>
      <c r="I126" s="14"/>
      <c r="J126" s="14"/>
      <c r="K126" s="14"/>
      <c r="L126" s="10"/>
      <c r="M126" s="14"/>
      <c r="N126" s="25">
        <v>719.58</v>
      </c>
      <c r="O126" s="14">
        <f t="shared" si="34"/>
        <v>719.58</v>
      </c>
      <c r="P126" s="12"/>
      <c r="Q126" s="12"/>
      <c r="R126" s="12"/>
      <c r="S126" s="22">
        <f t="shared" si="32"/>
        <v>0</v>
      </c>
      <c r="T126" s="22">
        <f t="shared" si="33"/>
        <v>0</v>
      </c>
    </row>
    <row r="127" ht="36" spans="1:20">
      <c r="A127" s="10">
        <v>13</v>
      </c>
      <c r="B127" s="34" t="s">
        <v>248</v>
      </c>
      <c r="C127" s="24" t="s">
        <v>249</v>
      </c>
      <c r="D127" s="23" t="s">
        <v>119</v>
      </c>
      <c r="E127" s="13"/>
      <c r="F127" s="14"/>
      <c r="G127" s="14"/>
      <c r="H127" s="14"/>
      <c r="I127" s="14"/>
      <c r="J127" s="14"/>
      <c r="K127" s="14"/>
      <c r="L127" s="10"/>
      <c r="M127" s="14"/>
      <c r="N127" s="25">
        <f>2281.11+491.78</f>
        <v>2772.89</v>
      </c>
      <c r="O127" s="14">
        <f t="shared" si="34"/>
        <v>2772.89</v>
      </c>
      <c r="P127" s="12"/>
      <c r="Q127" s="12"/>
      <c r="R127" s="12"/>
      <c r="S127" s="22">
        <f t="shared" si="32"/>
        <v>0</v>
      </c>
      <c r="T127" s="22">
        <f t="shared" si="33"/>
        <v>0</v>
      </c>
    </row>
    <row r="128" spans="1:20">
      <c r="A128" s="10">
        <v>14</v>
      </c>
      <c r="B128" s="24" t="s">
        <v>250</v>
      </c>
      <c r="C128" s="24" t="s">
        <v>250</v>
      </c>
      <c r="D128" s="23" t="s">
        <v>234</v>
      </c>
      <c r="E128" s="13"/>
      <c r="F128" s="14"/>
      <c r="G128" s="14"/>
      <c r="H128" s="14"/>
      <c r="I128" s="14"/>
      <c r="J128" s="14"/>
      <c r="K128" s="14"/>
      <c r="L128" s="10"/>
      <c r="M128" s="14"/>
      <c r="N128" s="25">
        <f>8008.11+171.74+176.66+345.9+914.66+862.46+171.49+19.01+10.56+7.34</f>
        <v>10687.93</v>
      </c>
      <c r="O128" s="14">
        <f t="shared" si="34"/>
        <v>10687.93</v>
      </c>
      <c r="P128" s="12"/>
      <c r="Q128" s="12"/>
      <c r="R128" s="12"/>
      <c r="S128" s="22">
        <f t="shared" si="32"/>
        <v>0</v>
      </c>
      <c r="T128" s="22">
        <f t="shared" si="33"/>
        <v>0</v>
      </c>
    </row>
    <row r="129" ht="24" spans="1:20">
      <c r="A129" s="10">
        <v>15</v>
      </c>
      <c r="B129" s="24" t="s">
        <v>251</v>
      </c>
      <c r="C129" s="24" t="s">
        <v>252</v>
      </c>
      <c r="D129" s="23" t="s">
        <v>234</v>
      </c>
      <c r="E129" s="13"/>
      <c r="F129" s="14"/>
      <c r="G129" s="14"/>
      <c r="H129" s="14"/>
      <c r="I129" s="14"/>
      <c r="J129" s="14"/>
      <c r="K129" s="14"/>
      <c r="L129" s="10"/>
      <c r="M129" s="14"/>
      <c r="N129" s="25">
        <v>102.91</v>
      </c>
      <c r="O129" s="14">
        <f t="shared" si="34"/>
        <v>102.91</v>
      </c>
      <c r="P129" s="12"/>
      <c r="Q129" s="12"/>
      <c r="R129" s="12"/>
      <c r="S129" s="22">
        <f t="shared" si="32"/>
        <v>0</v>
      </c>
      <c r="T129" s="22">
        <f t="shared" si="33"/>
        <v>0</v>
      </c>
    </row>
    <row r="130" ht="48" spans="1:20">
      <c r="A130" s="10">
        <v>16</v>
      </c>
      <c r="B130" s="24" t="s">
        <v>251</v>
      </c>
      <c r="C130" s="24" t="s">
        <v>253</v>
      </c>
      <c r="D130" s="23" t="s">
        <v>234</v>
      </c>
      <c r="E130" s="13"/>
      <c r="F130" s="14"/>
      <c r="G130" s="14"/>
      <c r="H130" s="14"/>
      <c r="I130" s="14"/>
      <c r="J130" s="14"/>
      <c r="K130" s="14"/>
      <c r="L130" s="10"/>
      <c r="M130" s="14"/>
      <c r="N130" s="25">
        <v>68.53</v>
      </c>
      <c r="O130" s="14">
        <f t="shared" si="34"/>
        <v>68.53</v>
      </c>
      <c r="P130" s="12"/>
      <c r="Q130" s="12"/>
      <c r="R130" s="12"/>
      <c r="S130" s="22">
        <f t="shared" si="32"/>
        <v>0</v>
      </c>
      <c r="T130" s="22">
        <f t="shared" si="33"/>
        <v>0</v>
      </c>
    </row>
    <row r="131" ht="108" spans="1:20">
      <c r="A131" s="10">
        <v>17</v>
      </c>
      <c r="B131" s="24" t="s">
        <v>254</v>
      </c>
      <c r="C131" s="24" t="s">
        <v>255</v>
      </c>
      <c r="D131" s="23" t="s">
        <v>26</v>
      </c>
      <c r="E131" s="13"/>
      <c r="F131" s="14"/>
      <c r="G131" s="14"/>
      <c r="H131" s="14"/>
      <c r="I131" s="14"/>
      <c r="J131" s="14"/>
      <c r="K131" s="14"/>
      <c r="L131" s="10"/>
      <c r="M131" s="14"/>
      <c r="N131" s="25">
        <v>2443.65</v>
      </c>
      <c r="O131" s="14">
        <f t="shared" si="34"/>
        <v>2443.65</v>
      </c>
      <c r="P131" s="12"/>
      <c r="Q131" s="12"/>
      <c r="R131" s="12"/>
      <c r="S131" s="22">
        <f t="shared" si="32"/>
        <v>0</v>
      </c>
      <c r="T131" s="22">
        <f t="shared" si="33"/>
        <v>0</v>
      </c>
    </row>
    <row r="132" ht="120" spans="1:20">
      <c r="A132" s="10">
        <v>18</v>
      </c>
      <c r="B132" s="24" t="s">
        <v>254</v>
      </c>
      <c r="C132" s="24" t="s">
        <v>256</v>
      </c>
      <c r="D132" s="23" t="s">
        <v>26</v>
      </c>
      <c r="E132" s="13"/>
      <c r="F132" s="14"/>
      <c r="G132" s="14"/>
      <c r="H132" s="14"/>
      <c r="I132" s="14"/>
      <c r="J132" s="14"/>
      <c r="K132" s="14"/>
      <c r="L132" s="10"/>
      <c r="M132" s="14"/>
      <c r="N132" s="25">
        <v>639.82</v>
      </c>
      <c r="O132" s="14">
        <f t="shared" si="34"/>
        <v>639.82</v>
      </c>
      <c r="P132" s="12"/>
      <c r="Q132" s="12"/>
      <c r="R132" s="12"/>
      <c r="S132" s="22">
        <f t="shared" si="32"/>
        <v>0</v>
      </c>
      <c r="T132" s="22">
        <f t="shared" si="33"/>
        <v>0</v>
      </c>
    </row>
    <row r="133" ht="120" spans="1:20">
      <c r="A133" s="10">
        <v>19</v>
      </c>
      <c r="B133" s="24" t="s">
        <v>254</v>
      </c>
      <c r="C133" s="24" t="s">
        <v>257</v>
      </c>
      <c r="D133" s="23" t="s">
        <v>26</v>
      </c>
      <c r="E133" s="13"/>
      <c r="F133" s="14"/>
      <c r="G133" s="14"/>
      <c r="H133" s="14"/>
      <c r="I133" s="14"/>
      <c r="J133" s="14"/>
      <c r="K133" s="14"/>
      <c r="L133" s="10"/>
      <c r="M133" s="14"/>
      <c r="N133" s="25">
        <v>432.87</v>
      </c>
      <c r="O133" s="14">
        <f t="shared" si="34"/>
        <v>432.87</v>
      </c>
      <c r="P133" s="12"/>
      <c r="Q133" s="12"/>
      <c r="R133" s="12"/>
      <c r="S133" s="22">
        <f t="shared" si="32"/>
        <v>0</v>
      </c>
      <c r="T133" s="22">
        <f t="shared" si="33"/>
        <v>0</v>
      </c>
    </row>
    <row r="134" ht="120" spans="1:20">
      <c r="A134" s="10">
        <v>20</v>
      </c>
      <c r="B134" s="24" t="s">
        <v>254</v>
      </c>
      <c r="C134" s="24" t="s">
        <v>258</v>
      </c>
      <c r="D134" s="23" t="s">
        <v>26</v>
      </c>
      <c r="E134" s="13"/>
      <c r="F134" s="14"/>
      <c r="G134" s="14"/>
      <c r="H134" s="14"/>
      <c r="I134" s="14"/>
      <c r="J134" s="14"/>
      <c r="K134" s="14"/>
      <c r="L134" s="10"/>
      <c r="M134" s="14"/>
      <c r="N134" s="25">
        <v>100.51</v>
      </c>
      <c r="O134" s="14">
        <f t="shared" si="34"/>
        <v>100.51</v>
      </c>
      <c r="P134" s="12"/>
      <c r="Q134" s="12"/>
      <c r="R134" s="12"/>
      <c r="S134" s="22">
        <f t="shared" si="32"/>
        <v>0</v>
      </c>
      <c r="T134" s="22">
        <f t="shared" si="33"/>
        <v>0</v>
      </c>
    </row>
    <row r="135" ht="48" spans="1:20">
      <c r="A135" s="10">
        <v>21</v>
      </c>
      <c r="B135" s="24" t="s">
        <v>259</v>
      </c>
      <c r="C135" s="24" t="s">
        <v>260</v>
      </c>
      <c r="D135" s="23" t="s">
        <v>26</v>
      </c>
      <c r="E135" s="13"/>
      <c r="F135" s="14"/>
      <c r="G135" s="14"/>
      <c r="H135" s="14"/>
      <c r="I135" s="14"/>
      <c r="J135" s="14"/>
      <c r="K135" s="14"/>
      <c r="L135" s="10"/>
      <c r="M135" s="14"/>
      <c r="N135" s="25">
        <v>21.87</v>
      </c>
      <c r="O135" s="14">
        <f t="shared" si="34"/>
        <v>21.87</v>
      </c>
      <c r="P135" s="12"/>
      <c r="Q135" s="12"/>
      <c r="R135" s="12"/>
      <c r="S135" s="22">
        <f t="shared" si="32"/>
        <v>0</v>
      </c>
      <c r="T135" s="22">
        <f t="shared" si="33"/>
        <v>0</v>
      </c>
    </row>
    <row r="136" ht="60" spans="1:20">
      <c r="A136" s="10">
        <v>22</v>
      </c>
      <c r="B136" s="24" t="s">
        <v>259</v>
      </c>
      <c r="C136" s="24" t="s">
        <v>261</v>
      </c>
      <c r="D136" s="23" t="s">
        <v>26</v>
      </c>
      <c r="E136" s="13"/>
      <c r="F136" s="14"/>
      <c r="G136" s="14"/>
      <c r="H136" s="14"/>
      <c r="I136" s="14"/>
      <c r="J136" s="14"/>
      <c r="K136" s="14"/>
      <c r="L136" s="10"/>
      <c r="M136" s="14"/>
      <c r="N136" s="25">
        <v>12.98</v>
      </c>
      <c r="O136" s="14">
        <f t="shared" si="34"/>
        <v>12.98</v>
      </c>
      <c r="P136" s="12"/>
      <c r="Q136" s="12"/>
      <c r="R136" s="12"/>
      <c r="S136" s="22">
        <f t="shared" si="32"/>
        <v>0</v>
      </c>
      <c r="T136" s="22">
        <f t="shared" si="33"/>
        <v>0</v>
      </c>
    </row>
    <row r="137" ht="48" spans="1:20">
      <c r="A137" s="10">
        <v>23</v>
      </c>
      <c r="B137" s="24" t="s">
        <v>259</v>
      </c>
      <c r="C137" s="24" t="s">
        <v>262</v>
      </c>
      <c r="D137" s="23" t="s">
        <v>26</v>
      </c>
      <c r="E137" s="13"/>
      <c r="F137" s="14"/>
      <c r="G137" s="14"/>
      <c r="H137" s="14"/>
      <c r="I137" s="14"/>
      <c r="J137" s="14"/>
      <c r="K137" s="14"/>
      <c r="L137" s="10"/>
      <c r="M137" s="14"/>
      <c r="N137" s="25">
        <v>142.38</v>
      </c>
      <c r="O137" s="14">
        <f t="shared" si="34"/>
        <v>142.38</v>
      </c>
      <c r="P137" s="12"/>
      <c r="Q137" s="12"/>
      <c r="R137" s="12"/>
      <c r="S137" s="22">
        <f t="shared" si="32"/>
        <v>0</v>
      </c>
      <c r="T137" s="22">
        <f t="shared" si="33"/>
        <v>0</v>
      </c>
    </row>
    <row r="138" ht="60" spans="1:20">
      <c r="A138" s="10">
        <v>24</v>
      </c>
      <c r="B138" s="24" t="s">
        <v>259</v>
      </c>
      <c r="C138" s="24" t="s">
        <v>263</v>
      </c>
      <c r="D138" s="23" t="s">
        <v>26</v>
      </c>
      <c r="E138" s="13"/>
      <c r="F138" s="14"/>
      <c r="G138" s="14"/>
      <c r="H138" s="14"/>
      <c r="I138" s="14"/>
      <c r="J138" s="14"/>
      <c r="K138" s="14"/>
      <c r="L138" s="10"/>
      <c r="M138" s="14"/>
      <c r="N138" s="25">
        <v>73.5</v>
      </c>
      <c r="O138" s="14">
        <f t="shared" si="34"/>
        <v>73.5</v>
      </c>
      <c r="P138" s="12"/>
      <c r="Q138" s="12"/>
      <c r="R138" s="12"/>
      <c r="S138" s="22">
        <f t="shared" si="32"/>
        <v>0</v>
      </c>
      <c r="T138" s="22">
        <f t="shared" si="33"/>
        <v>0</v>
      </c>
    </row>
    <row r="139" ht="60" spans="1:20">
      <c r="A139" s="10">
        <v>25</v>
      </c>
      <c r="B139" s="24" t="s">
        <v>259</v>
      </c>
      <c r="C139" s="24" t="s">
        <v>264</v>
      </c>
      <c r="D139" s="23" t="s">
        <v>26</v>
      </c>
      <c r="E139" s="13"/>
      <c r="F139" s="14"/>
      <c r="G139" s="14"/>
      <c r="H139" s="14"/>
      <c r="I139" s="14"/>
      <c r="J139" s="14"/>
      <c r="K139" s="14"/>
      <c r="L139" s="10"/>
      <c r="M139" s="14"/>
      <c r="N139" s="25">
        <v>27.54</v>
      </c>
      <c r="O139" s="14">
        <f t="shared" si="34"/>
        <v>27.54</v>
      </c>
      <c r="P139" s="12"/>
      <c r="Q139" s="12"/>
      <c r="R139" s="12"/>
      <c r="S139" s="22">
        <f t="shared" si="32"/>
        <v>0</v>
      </c>
      <c r="T139" s="22">
        <f t="shared" si="33"/>
        <v>0</v>
      </c>
    </row>
    <row r="140" ht="48" spans="1:20">
      <c r="A140" s="10">
        <v>26</v>
      </c>
      <c r="B140" s="24" t="s">
        <v>259</v>
      </c>
      <c r="C140" s="24" t="s">
        <v>265</v>
      </c>
      <c r="D140" s="23" t="s">
        <v>26</v>
      </c>
      <c r="E140" s="13"/>
      <c r="F140" s="14"/>
      <c r="G140" s="14"/>
      <c r="H140" s="14"/>
      <c r="I140" s="14"/>
      <c r="J140" s="14"/>
      <c r="K140" s="14"/>
      <c r="L140" s="10"/>
      <c r="M140" s="14"/>
      <c r="N140" s="25">
        <v>5.4</v>
      </c>
      <c r="O140" s="14">
        <f t="shared" si="34"/>
        <v>5.4</v>
      </c>
      <c r="P140" s="12"/>
      <c r="Q140" s="12"/>
      <c r="R140" s="12"/>
      <c r="S140" s="22">
        <f t="shared" si="32"/>
        <v>0</v>
      </c>
      <c r="T140" s="22">
        <f t="shared" si="33"/>
        <v>0</v>
      </c>
    </row>
    <row r="141" ht="96" spans="1:20">
      <c r="A141" s="10">
        <v>27</v>
      </c>
      <c r="B141" s="24" t="s">
        <v>266</v>
      </c>
      <c r="C141" s="24" t="s">
        <v>267</v>
      </c>
      <c r="D141" s="49" t="s">
        <v>26</v>
      </c>
      <c r="E141" s="13"/>
      <c r="F141" s="14"/>
      <c r="G141" s="14"/>
      <c r="H141" s="14"/>
      <c r="I141" s="14"/>
      <c r="J141" s="14"/>
      <c r="K141" s="14"/>
      <c r="L141" s="10"/>
      <c r="M141" s="14"/>
      <c r="N141" s="25">
        <v>439</v>
      </c>
      <c r="O141" s="14">
        <f t="shared" si="34"/>
        <v>439</v>
      </c>
      <c r="P141" s="12"/>
      <c r="Q141" s="12"/>
      <c r="R141" s="12"/>
      <c r="S141" s="22">
        <f t="shared" si="32"/>
        <v>0</v>
      </c>
      <c r="T141" s="22">
        <f t="shared" si="33"/>
        <v>0</v>
      </c>
    </row>
    <row r="142" ht="48" spans="1:20">
      <c r="A142" s="10">
        <v>28</v>
      </c>
      <c r="B142" s="24" t="s">
        <v>268</v>
      </c>
      <c r="C142" s="24" t="s">
        <v>269</v>
      </c>
      <c r="D142" s="49" t="s">
        <v>26</v>
      </c>
      <c r="E142" s="13"/>
      <c r="F142" s="14"/>
      <c r="G142" s="14"/>
      <c r="H142" s="14"/>
      <c r="I142" s="14"/>
      <c r="J142" s="14"/>
      <c r="K142" s="14"/>
      <c r="L142" s="10"/>
      <c r="M142" s="14"/>
      <c r="N142" s="25">
        <v>1695.9</v>
      </c>
      <c r="O142" s="14">
        <f t="shared" si="34"/>
        <v>1695.9</v>
      </c>
      <c r="P142" s="12"/>
      <c r="Q142" s="12"/>
      <c r="R142" s="12"/>
      <c r="S142" s="22">
        <f t="shared" si="32"/>
        <v>0</v>
      </c>
      <c r="T142" s="22">
        <f t="shared" si="33"/>
        <v>0</v>
      </c>
    </row>
    <row r="143" ht="108" spans="1:20">
      <c r="A143" s="10">
        <v>29</v>
      </c>
      <c r="B143" s="24" t="s">
        <v>246</v>
      </c>
      <c r="C143" s="24" t="s">
        <v>270</v>
      </c>
      <c r="D143" s="49" t="s">
        <v>26</v>
      </c>
      <c r="E143" s="13"/>
      <c r="F143" s="14"/>
      <c r="G143" s="14"/>
      <c r="H143" s="14"/>
      <c r="I143" s="14"/>
      <c r="J143" s="14"/>
      <c r="K143" s="14"/>
      <c r="L143" s="10"/>
      <c r="M143" s="14"/>
      <c r="N143" s="25">
        <v>159</v>
      </c>
      <c r="O143" s="14">
        <f t="shared" si="34"/>
        <v>159</v>
      </c>
      <c r="P143" s="12"/>
      <c r="Q143" s="12"/>
      <c r="R143" s="12"/>
      <c r="S143" s="22">
        <f t="shared" si="32"/>
        <v>0</v>
      </c>
      <c r="T143" s="22">
        <f t="shared" si="33"/>
        <v>0</v>
      </c>
    </row>
    <row r="144" ht="72" spans="1:20">
      <c r="A144" s="10">
        <v>30</v>
      </c>
      <c r="B144" s="24" t="s">
        <v>254</v>
      </c>
      <c r="C144" s="24" t="s">
        <v>271</v>
      </c>
      <c r="D144" s="23" t="s">
        <v>26</v>
      </c>
      <c r="E144" s="13"/>
      <c r="F144" s="14"/>
      <c r="G144" s="14"/>
      <c r="H144" s="14"/>
      <c r="I144" s="14"/>
      <c r="J144" s="14"/>
      <c r="K144" s="14"/>
      <c r="L144" s="10"/>
      <c r="M144" s="14"/>
      <c r="N144" s="25">
        <v>12.74</v>
      </c>
      <c r="O144" s="14">
        <f t="shared" si="34"/>
        <v>12.74</v>
      </c>
      <c r="P144" s="12"/>
      <c r="Q144" s="12"/>
      <c r="R144" s="12"/>
      <c r="S144" s="22">
        <f t="shared" si="32"/>
        <v>0</v>
      </c>
      <c r="T144" s="22">
        <f t="shared" si="33"/>
        <v>0</v>
      </c>
    </row>
    <row r="145" ht="36" spans="1:20">
      <c r="A145" s="10">
        <v>31</v>
      </c>
      <c r="B145" s="24" t="s">
        <v>272</v>
      </c>
      <c r="C145" s="24" t="s">
        <v>273</v>
      </c>
      <c r="D145" s="25" t="s">
        <v>26</v>
      </c>
      <c r="E145" s="13"/>
      <c r="F145" s="14"/>
      <c r="G145" s="14"/>
      <c r="H145" s="14"/>
      <c r="I145" s="14"/>
      <c r="J145" s="14"/>
      <c r="K145" s="14"/>
      <c r="L145" s="10"/>
      <c r="M145" s="14"/>
      <c r="N145" s="25">
        <v>1.5</v>
      </c>
      <c r="O145" s="14">
        <f t="shared" si="34"/>
        <v>1.5</v>
      </c>
      <c r="P145" s="12"/>
      <c r="Q145" s="12"/>
      <c r="R145" s="12"/>
      <c r="S145" s="22">
        <f t="shared" si="32"/>
        <v>0</v>
      </c>
      <c r="T145" s="22">
        <f t="shared" si="33"/>
        <v>0</v>
      </c>
    </row>
    <row r="146" ht="156" spans="1:20">
      <c r="A146" s="10">
        <v>32</v>
      </c>
      <c r="B146" s="24" t="s">
        <v>274</v>
      </c>
      <c r="C146" s="24" t="s">
        <v>275</v>
      </c>
      <c r="D146" s="25" t="s">
        <v>26</v>
      </c>
      <c r="E146" s="13"/>
      <c r="F146" s="14"/>
      <c r="G146" s="14"/>
      <c r="H146" s="14"/>
      <c r="I146" s="14"/>
      <c r="J146" s="14"/>
      <c r="K146" s="14"/>
      <c r="L146" s="10"/>
      <c r="M146" s="14"/>
      <c r="N146" s="25">
        <v>9255.62</v>
      </c>
      <c r="O146" s="14">
        <f t="shared" si="34"/>
        <v>9255.62</v>
      </c>
      <c r="P146" s="12"/>
      <c r="Q146" s="12"/>
      <c r="R146" s="12"/>
      <c r="S146" s="22">
        <f t="shared" si="32"/>
        <v>0</v>
      </c>
      <c r="T146" s="22">
        <f t="shared" si="33"/>
        <v>0</v>
      </c>
    </row>
    <row r="147" ht="216" spans="1:20">
      <c r="A147" s="10">
        <v>33</v>
      </c>
      <c r="B147" s="24" t="s">
        <v>276</v>
      </c>
      <c r="C147" s="24" t="s">
        <v>277</v>
      </c>
      <c r="D147" s="25" t="s">
        <v>26</v>
      </c>
      <c r="E147" s="13"/>
      <c r="F147" s="14"/>
      <c r="G147" s="14"/>
      <c r="H147" s="14"/>
      <c r="I147" s="14"/>
      <c r="J147" s="14"/>
      <c r="K147" s="14"/>
      <c r="L147" s="10"/>
      <c r="M147" s="14"/>
      <c r="N147" s="25">
        <v>3124.54</v>
      </c>
      <c r="O147" s="14">
        <f t="shared" si="34"/>
        <v>3124.54</v>
      </c>
      <c r="P147" s="12"/>
      <c r="Q147" s="12"/>
      <c r="R147" s="12"/>
      <c r="S147" s="22">
        <f t="shared" si="32"/>
        <v>0</v>
      </c>
      <c r="T147" s="22">
        <f t="shared" si="33"/>
        <v>0</v>
      </c>
    </row>
    <row r="148" ht="216" spans="1:20">
      <c r="A148" s="10">
        <v>34</v>
      </c>
      <c r="B148" s="24" t="s">
        <v>278</v>
      </c>
      <c r="C148" s="24" t="s">
        <v>279</v>
      </c>
      <c r="D148" s="25" t="s">
        <v>26</v>
      </c>
      <c r="E148" s="13"/>
      <c r="F148" s="14"/>
      <c r="G148" s="14"/>
      <c r="H148" s="14"/>
      <c r="I148" s="14"/>
      <c r="J148" s="14"/>
      <c r="K148" s="14"/>
      <c r="L148" s="10"/>
      <c r="M148" s="14"/>
      <c r="N148" s="25">
        <v>613.65</v>
      </c>
      <c r="O148" s="14">
        <f t="shared" si="34"/>
        <v>613.65</v>
      </c>
      <c r="P148" s="12"/>
      <c r="Q148" s="12"/>
      <c r="R148" s="12"/>
      <c r="S148" s="22">
        <f t="shared" si="32"/>
        <v>0</v>
      </c>
      <c r="T148" s="22">
        <f t="shared" si="33"/>
        <v>0</v>
      </c>
    </row>
    <row r="149" ht="72" spans="1:20">
      <c r="A149" s="10">
        <v>35</v>
      </c>
      <c r="B149" s="24" t="s">
        <v>280</v>
      </c>
      <c r="C149" s="24" t="s">
        <v>281</v>
      </c>
      <c r="D149" s="25" t="s">
        <v>26</v>
      </c>
      <c r="E149" s="13"/>
      <c r="F149" s="14"/>
      <c r="G149" s="14"/>
      <c r="H149" s="14"/>
      <c r="I149" s="14"/>
      <c r="J149" s="14"/>
      <c r="K149" s="14"/>
      <c r="L149" s="10"/>
      <c r="M149" s="14"/>
      <c r="N149" s="25">
        <v>32</v>
      </c>
      <c r="O149" s="14">
        <f t="shared" si="34"/>
        <v>32</v>
      </c>
      <c r="P149" s="12"/>
      <c r="Q149" s="12"/>
      <c r="R149" s="12"/>
      <c r="S149" s="22">
        <f t="shared" si="32"/>
        <v>0</v>
      </c>
      <c r="T149" s="22">
        <f t="shared" si="33"/>
        <v>0</v>
      </c>
    </row>
    <row r="150" ht="48" spans="1:20">
      <c r="A150" s="10">
        <v>36</v>
      </c>
      <c r="B150" s="24" t="s">
        <v>282</v>
      </c>
      <c r="C150" s="24" t="s">
        <v>283</v>
      </c>
      <c r="D150" s="49" t="s">
        <v>119</v>
      </c>
      <c r="E150" s="13"/>
      <c r="F150" s="14"/>
      <c r="G150" s="14"/>
      <c r="H150" s="14"/>
      <c r="I150" s="14"/>
      <c r="J150" s="14"/>
      <c r="K150" s="14"/>
      <c r="L150" s="10"/>
      <c r="M150" s="14"/>
      <c r="N150" s="25">
        <v>1.2</v>
      </c>
      <c r="O150" s="14">
        <f t="shared" ref="O150:O164" si="35">SUM(E150:N150)</f>
        <v>1.2</v>
      </c>
      <c r="P150" s="12"/>
      <c r="Q150" s="12"/>
      <c r="R150" s="12"/>
      <c r="S150" s="22">
        <f t="shared" ref="S150:S164" si="36">P150+Q150+R150</f>
        <v>0</v>
      </c>
      <c r="T150" s="22">
        <f t="shared" ref="T150:T164" si="37">O150*S150</f>
        <v>0</v>
      </c>
    </row>
    <row r="151" ht="180" spans="1:20">
      <c r="A151" s="10">
        <v>37</v>
      </c>
      <c r="B151" s="24" t="s">
        <v>284</v>
      </c>
      <c r="C151" s="24" t="s">
        <v>285</v>
      </c>
      <c r="D151" s="49" t="s">
        <v>119</v>
      </c>
      <c r="E151" s="13"/>
      <c r="F151" s="14"/>
      <c r="G151" s="14"/>
      <c r="H151" s="14"/>
      <c r="I151" s="14"/>
      <c r="J151" s="14"/>
      <c r="K151" s="14"/>
      <c r="L151" s="10"/>
      <c r="M151" s="14"/>
      <c r="N151" s="25">
        <v>538.75</v>
      </c>
      <c r="O151" s="14">
        <f t="shared" si="35"/>
        <v>538.75</v>
      </c>
      <c r="P151" s="12"/>
      <c r="Q151" s="12"/>
      <c r="R151" s="12"/>
      <c r="S151" s="22">
        <f t="shared" si="36"/>
        <v>0</v>
      </c>
      <c r="T151" s="22">
        <f t="shared" si="37"/>
        <v>0</v>
      </c>
    </row>
    <row r="152" ht="192" spans="1:20">
      <c r="A152" s="10">
        <v>38</v>
      </c>
      <c r="B152" s="24" t="s">
        <v>286</v>
      </c>
      <c r="C152" s="24" t="s">
        <v>287</v>
      </c>
      <c r="D152" s="25" t="s">
        <v>26</v>
      </c>
      <c r="E152" s="13"/>
      <c r="F152" s="14"/>
      <c r="G152" s="14"/>
      <c r="H152" s="14"/>
      <c r="I152" s="14"/>
      <c r="J152" s="14"/>
      <c r="K152" s="14"/>
      <c r="L152" s="10"/>
      <c r="M152" s="14"/>
      <c r="N152" s="25">
        <v>3508.8</v>
      </c>
      <c r="O152" s="14">
        <f t="shared" si="35"/>
        <v>3508.8</v>
      </c>
      <c r="P152" s="12"/>
      <c r="Q152" s="12"/>
      <c r="R152" s="12"/>
      <c r="S152" s="22">
        <f t="shared" si="36"/>
        <v>0</v>
      </c>
      <c r="T152" s="22">
        <f t="shared" si="37"/>
        <v>0</v>
      </c>
    </row>
    <row r="153" ht="144" spans="1:20">
      <c r="A153" s="10">
        <v>39</v>
      </c>
      <c r="B153" s="24" t="s">
        <v>284</v>
      </c>
      <c r="C153" s="24" t="s">
        <v>288</v>
      </c>
      <c r="D153" s="49" t="s">
        <v>119</v>
      </c>
      <c r="E153" s="13"/>
      <c r="F153" s="14"/>
      <c r="G153" s="14"/>
      <c r="H153" s="14"/>
      <c r="I153" s="14"/>
      <c r="J153" s="14"/>
      <c r="K153" s="14"/>
      <c r="L153" s="10"/>
      <c r="M153" s="14"/>
      <c r="N153" s="25">
        <v>558.8</v>
      </c>
      <c r="O153" s="14">
        <f t="shared" si="35"/>
        <v>558.8</v>
      </c>
      <c r="P153" s="12"/>
      <c r="Q153" s="12"/>
      <c r="R153" s="12"/>
      <c r="S153" s="22">
        <f t="shared" si="36"/>
        <v>0</v>
      </c>
      <c r="T153" s="22">
        <f t="shared" si="37"/>
        <v>0</v>
      </c>
    </row>
    <row r="154" ht="24" spans="1:20">
      <c r="A154" s="10">
        <v>40</v>
      </c>
      <c r="B154" s="24" t="s">
        <v>289</v>
      </c>
      <c r="C154" s="24" t="s">
        <v>290</v>
      </c>
      <c r="D154" s="23" t="s">
        <v>234</v>
      </c>
      <c r="E154" s="13"/>
      <c r="F154" s="14"/>
      <c r="G154" s="14"/>
      <c r="H154" s="14"/>
      <c r="I154" s="14"/>
      <c r="J154" s="14"/>
      <c r="K154" s="14"/>
      <c r="L154" s="10"/>
      <c r="M154" s="14"/>
      <c r="N154" s="25">
        <f>38.11+4.2</f>
        <v>42.31</v>
      </c>
      <c r="O154" s="14">
        <f t="shared" si="35"/>
        <v>42.31</v>
      </c>
      <c r="P154" s="12"/>
      <c r="Q154" s="12"/>
      <c r="R154" s="12"/>
      <c r="S154" s="22">
        <f t="shared" si="36"/>
        <v>0</v>
      </c>
      <c r="T154" s="22">
        <f t="shared" si="37"/>
        <v>0</v>
      </c>
    </row>
    <row r="155" ht="24" spans="1:20">
      <c r="A155" s="28">
        <v>41</v>
      </c>
      <c r="B155" s="29" t="s">
        <v>289</v>
      </c>
      <c r="C155" s="29" t="s">
        <v>290</v>
      </c>
      <c r="D155" s="50" t="s">
        <v>234</v>
      </c>
      <c r="E155" s="51"/>
      <c r="F155" s="31"/>
      <c r="G155" s="31"/>
      <c r="H155" s="31"/>
      <c r="I155" s="31"/>
      <c r="J155" s="31"/>
      <c r="K155" s="31"/>
      <c r="L155" s="28"/>
      <c r="M155" s="31"/>
      <c r="N155" s="30">
        <v>3.44</v>
      </c>
      <c r="O155" s="31">
        <f t="shared" si="35"/>
        <v>3.44</v>
      </c>
      <c r="P155" s="32"/>
      <c r="Q155" s="32"/>
      <c r="R155" s="32"/>
      <c r="S155" s="33">
        <f t="shared" si="36"/>
        <v>0</v>
      </c>
      <c r="T155" s="33">
        <f t="shared" si="37"/>
        <v>0</v>
      </c>
    </row>
    <row r="156" ht="24" spans="1:20">
      <c r="A156" s="10">
        <v>42</v>
      </c>
      <c r="B156" s="24" t="s">
        <v>289</v>
      </c>
      <c r="C156" s="24" t="s">
        <v>291</v>
      </c>
      <c r="D156" s="25" t="s">
        <v>234</v>
      </c>
      <c r="E156" s="52"/>
      <c r="F156" s="53"/>
      <c r="G156" s="53"/>
      <c r="H156" s="53"/>
      <c r="I156" s="53"/>
      <c r="J156" s="53"/>
      <c r="K156" s="53"/>
      <c r="L156" s="54"/>
      <c r="M156" s="53"/>
      <c r="N156" s="25">
        <v>79.09</v>
      </c>
      <c r="O156" s="53">
        <f t="shared" si="35"/>
        <v>79.09</v>
      </c>
      <c r="P156" s="55"/>
      <c r="Q156" s="55"/>
      <c r="R156" s="55"/>
      <c r="S156" s="56">
        <f t="shared" si="36"/>
        <v>0</v>
      </c>
      <c r="T156" s="56">
        <f t="shared" si="37"/>
        <v>0</v>
      </c>
    </row>
    <row r="157" spans="1:20">
      <c r="A157" s="10">
        <v>43</v>
      </c>
      <c r="B157" s="24" t="s">
        <v>292</v>
      </c>
      <c r="C157" s="24" t="s">
        <v>293</v>
      </c>
      <c r="D157" s="23" t="s">
        <v>26</v>
      </c>
      <c r="E157" s="13"/>
      <c r="F157" s="14"/>
      <c r="G157" s="14"/>
      <c r="H157" s="14"/>
      <c r="I157" s="14"/>
      <c r="J157" s="14"/>
      <c r="K157" s="14"/>
      <c r="L157" s="10"/>
      <c r="M157" s="14"/>
      <c r="N157" s="35">
        <f>245.28+78.96+319.57+10.2</f>
        <v>654.01</v>
      </c>
      <c r="O157" s="14">
        <f t="shared" si="35"/>
        <v>654.01</v>
      </c>
      <c r="P157" s="12"/>
      <c r="Q157" s="12"/>
      <c r="R157" s="12"/>
      <c r="S157" s="22">
        <f t="shared" si="36"/>
        <v>0</v>
      </c>
      <c r="T157" s="22">
        <f t="shared" si="37"/>
        <v>0</v>
      </c>
    </row>
    <row r="158" ht="24" spans="1:20">
      <c r="A158" s="10">
        <v>44</v>
      </c>
      <c r="B158" s="24" t="s">
        <v>294</v>
      </c>
      <c r="C158" s="24" t="s">
        <v>295</v>
      </c>
      <c r="D158" s="23" t="s">
        <v>296</v>
      </c>
      <c r="E158" s="13"/>
      <c r="F158" s="14"/>
      <c r="G158" s="14"/>
      <c r="H158" s="14"/>
      <c r="I158" s="14"/>
      <c r="J158" s="14"/>
      <c r="K158" s="14"/>
      <c r="L158" s="10"/>
      <c r="M158" s="14"/>
      <c r="N158" s="25">
        <v>1.6</v>
      </c>
      <c r="O158" s="14">
        <f t="shared" si="35"/>
        <v>1.6</v>
      </c>
      <c r="P158" s="12"/>
      <c r="Q158" s="12"/>
      <c r="R158" s="12"/>
      <c r="S158" s="22">
        <f t="shared" si="36"/>
        <v>0</v>
      </c>
      <c r="T158" s="22">
        <f t="shared" si="37"/>
        <v>0</v>
      </c>
    </row>
    <row r="159" ht="24" spans="1:20">
      <c r="A159" s="10">
        <v>45</v>
      </c>
      <c r="B159" s="24" t="s">
        <v>294</v>
      </c>
      <c r="C159" s="24" t="s">
        <v>297</v>
      </c>
      <c r="D159" s="23" t="s">
        <v>296</v>
      </c>
      <c r="E159" s="13"/>
      <c r="F159" s="14"/>
      <c r="G159" s="14"/>
      <c r="H159" s="14"/>
      <c r="I159" s="14"/>
      <c r="J159" s="14"/>
      <c r="K159" s="14"/>
      <c r="L159" s="10"/>
      <c r="M159" s="14"/>
      <c r="N159" s="25">
        <f>2.72+2.3+11.65+0.3+0.24</f>
        <v>17.21</v>
      </c>
      <c r="O159" s="14">
        <f t="shared" si="35"/>
        <v>17.21</v>
      </c>
      <c r="P159" s="12"/>
      <c r="Q159" s="12"/>
      <c r="R159" s="12"/>
      <c r="S159" s="22">
        <f t="shared" si="36"/>
        <v>0</v>
      </c>
      <c r="T159" s="22">
        <f t="shared" si="37"/>
        <v>0</v>
      </c>
    </row>
    <row r="160" ht="24" spans="1:20">
      <c r="A160" s="10">
        <v>46</v>
      </c>
      <c r="B160" s="24" t="s">
        <v>298</v>
      </c>
      <c r="C160" s="24" t="s">
        <v>299</v>
      </c>
      <c r="D160" s="25" t="s">
        <v>234</v>
      </c>
      <c r="E160" s="13"/>
      <c r="F160" s="14"/>
      <c r="G160" s="14"/>
      <c r="H160" s="14"/>
      <c r="I160" s="14"/>
      <c r="J160" s="14"/>
      <c r="K160" s="14"/>
      <c r="L160" s="10"/>
      <c r="M160" s="14"/>
      <c r="N160" s="25">
        <f>17.67+6.97+51.68+9.69+17.15+2.14+0.73</f>
        <v>106.03</v>
      </c>
      <c r="O160" s="14">
        <f t="shared" si="35"/>
        <v>106.03</v>
      </c>
      <c r="P160" s="12"/>
      <c r="Q160" s="12"/>
      <c r="R160" s="12"/>
      <c r="S160" s="22">
        <f t="shared" si="36"/>
        <v>0</v>
      </c>
      <c r="T160" s="22">
        <f t="shared" si="37"/>
        <v>0</v>
      </c>
    </row>
    <row r="161" ht="24" spans="1:20">
      <c r="A161" s="10">
        <v>47</v>
      </c>
      <c r="B161" s="24" t="s">
        <v>300</v>
      </c>
      <c r="C161" s="24" t="s">
        <v>301</v>
      </c>
      <c r="D161" s="23" t="s">
        <v>26</v>
      </c>
      <c r="E161" s="13"/>
      <c r="F161" s="14"/>
      <c r="G161" s="14"/>
      <c r="H161" s="14"/>
      <c r="I161" s="14"/>
      <c r="J161" s="14"/>
      <c r="K161" s="14"/>
      <c r="L161" s="10"/>
      <c r="M161" s="14"/>
      <c r="N161" s="35">
        <f>64.24+21.12+223.67+32.06+77.95+5.48+3.43</f>
        <v>427.95</v>
      </c>
      <c r="O161" s="14">
        <f t="shared" si="35"/>
        <v>427.95</v>
      </c>
      <c r="P161" s="12"/>
      <c r="Q161" s="12"/>
      <c r="R161" s="12"/>
      <c r="S161" s="22">
        <f t="shared" si="36"/>
        <v>0</v>
      </c>
      <c r="T161" s="22">
        <f t="shared" si="37"/>
        <v>0</v>
      </c>
    </row>
    <row r="162" spans="1:20">
      <c r="A162" s="10">
        <v>48</v>
      </c>
      <c r="B162" s="24" t="s">
        <v>298</v>
      </c>
      <c r="C162" s="24" t="s">
        <v>302</v>
      </c>
      <c r="D162" s="25" t="s">
        <v>234</v>
      </c>
      <c r="E162" s="13"/>
      <c r="F162" s="14"/>
      <c r="G162" s="14"/>
      <c r="H162" s="14"/>
      <c r="I162" s="14"/>
      <c r="J162" s="14"/>
      <c r="K162" s="14"/>
      <c r="L162" s="10"/>
      <c r="M162" s="14"/>
      <c r="N162" s="25">
        <f>26.5+9.69+17.15+11.28+0.73</f>
        <v>65.35</v>
      </c>
      <c r="O162" s="14">
        <f t="shared" si="35"/>
        <v>65.35</v>
      </c>
      <c r="P162" s="12"/>
      <c r="Q162" s="12"/>
      <c r="R162" s="12"/>
      <c r="S162" s="22">
        <f t="shared" si="36"/>
        <v>0</v>
      </c>
      <c r="T162" s="22">
        <f t="shared" si="37"/>
        <v>0</v>
      </c>
    </row>
    <row r="163" spans="1:20">
      <c r="A163" s="10">
        <v>49</v>
      </c>
      <c r="B163" s="24" t="s">
        <v>303</v>
      </c>
      <c r="C163" s="24" t="s">
        <v>304</v>
      </c>
      <c r="D163" s="23" t="s">
        <v>296</v>
      </c>
      <c r="E163" s="13"/>
      <c r="F163" s="14"/>
      <c r="G163" s="14"/>
      <c r="H163" s="14"/>
      <c r="I163" s="14"/>
      <c r="J163" s="14"/>
      <c r="K163" s="14"/>
      <c r="L163" s="10"/>
      <c r="M163" s="14"/>
      <c r="N163" s="25">
        <f>1.3+1.69+0.2+0.03</f>
        <v>3.22</v>
      </c>
      <c r="O163" s="14">
        <f t="shared" si="35"/>
        <v>3.22</v>
      </c>
      <c r="P163" s="12"/>
      <c r="Q163" s="12"/>
      <c r="R163" s="12"/>
      <c r="S163" s="22">
        <f t="shared" si="36"/>
        <v>0</v>
      </c>
      <c r="T163" s="22">
        <f t="shared" si="37"/>
        <v>0</v>
      </c>
    </row>
    <row r="164" ht="96" spans="1:20">
      <c r="A164" s="10">
        <v>50</v>
      </c>
      <c r="B164" s="24" t="s">
        <v>305</v>
      </c>
      <c r="C164" s="24" t="s">
        <v>306</v>
      </c>
      <c r="D164" s="25" t="s">
        <v>26</v>
      </c>
      <c r="E164" s="13"/>
      <c r="F164" s="14"/>
      <c r="G164" s="14"/>
      <c r="H164" s="14"/>
      <c r="I164" s="14"/>
      <c r="J164" s="14"/>
      <c r="K164" s="14"/>
      <c r="L164" s="10"/>
      <c r="M164" s="14"/>
      <c r="N164" s="25">
        <v>2057.76</v>
      </c>
      <c r="O164" s="14">
        <f t="shared" si="35"/>
        <v>2057.76</v>
      </c>
      <c r="P164" s="12"/>
      <c r="Q164" s="12"/>
      <c r="R164" s="12"/>
      <c r="S164" s="22">
        <f t="shared" si="36"/>
        <v>0</v>
      </c>
      <c r="T164" s="22">
        <f t="shared" si="37"/>
        <v>0</v>
      </c>
    </row>
    <row r="165" ht="36" spans="1:20">
      <c r="A165" s="10">
        <v>51</v>
      </c>
      <c r="B165" s="34" t="s">
        <v>307</v>
      </c>
      <c r="C165" s="24" t="s">
        <v>308</v>
      </c>
      <c r="D165" s="25" t="s">
        <v>26</v>
      </c>
      <c r="E165" s="13"/>
      <c r="F165" s="14"/>
      <c r="G165" s="14"/>
      <c r="H165" s="14"/>
      <c r="I165" s="14"/>
      <c r="J165" s="14"/>
      <c r="K165" s="14"/>
      <c r="L165" s="10"/>
      <c r="M165" s="14"/>
      <c r="N165" s="25">
        <v>183.82</v>
      </c>
      <c r="O165" s="14">
        <f t="shared" ref="O165:O190" si="38">SUM(E165:N165)</f>
        <v>183.82</v>
      </c>
      <c r="P165" s="12"/>
      <c r="Q165" s="12"/>
      <c r="R165" s="12"/>
      <c r="S165" s="22">
        <f t="shared" ref="S165:S179" si="39">P165+Q165+R165</f>
        <v>0</v>
      </c>
      <c r="T165" s="22">
        <f t="shared" ref="T165:T179" si="40">O165*S165</f>
        <v>0</v>
      </c>
    </row>
    <row r="166" ht="60" spans="1:20">
      <c r="A166" s="10">
        <v>52</v>
      </c>
      <c r="B166" s="24" t="s">
        <v>309</v>
      </c>
      <c r="C166" s="24" t="s">
        <v>310</v>
      </c>
      <c r="D166" s="25" t="s">
        <v>119</v>
      </c>
      <c r="E166" s="13"/>
      <c r="F166" s="14"/>
      <c r="G166" s="14"/>
      <c r="H166" s="14"/>
      <c r="I166" s="14"/>
      <c r="J166" s="14"/>
      <c r="K166" s="14"/>
      <c r="L166" s="10"/>
      <c r="M166" s="14"/>
      <c r="N166" s="25">
        <v>119.2</v>
      </c>
      <c r="O166" s="14">
        <f t="shared" si="38"/>
        <v>119.2</v>
      </c>
      <c r="P166" s="12"/>
      <c r="Q166" s="12"/>
      <c r="R166" s="12"/>
      <c r="S166" s="22">
        <f t="shared" si="39"/>
        <v>0</v>
      </c>
      <c r="T166" s="22">
        <f t="shared" si="40"/>
        <v>0</v>
      </c>
    </row>
    <row r="167" spans="1:20">
      <c r="A167" s="10">
        <v>53</v>
      </c>
      <c r="B167" s="24" t="s">
        <v>311</v>
      </c>
      <c r="C167" s="24" t="s">
        <v>312</v>
      </c>
      <c r="D167" s="23" t="s">
        <v>26</v>
      </c>
      <c r="E167" s="13"/>
      <c r="F167" s="14"/>
      <c r="G167" s="14"/>
      <c r="H167" s="14"/>
      <c r="I167" s="14"/>
      <c r="J167" s="14"/>
      <c r="K167" s="14"/>
      <c r="L167" s="10"/>
      <c r="M167" s="14"/>
      <c r="N167" s="25">
        <v>3.24</v>
      </c>
      <c r="O167" s="14">
        <f t="shared" si="38"/>
        <v>3.24</v>
      </c>
      <c r="P167" s="12"/>
      <c r="Q167" s="12"/>
      <c r="R167" s="12"/>
      <c r="S167" s="22">
        <f t="shared" si="39"/>
        <v>0</v>
      </c>
      <c r="T167" s="22">
        <f t="shared" si="40"/>
        <v>0</v>
      </c>
    </row>
    <row r="168" spans="1:20">
      <c r="A168" s="10">
        <v>54</v>
      </c>
      <c r="B168" s="24" t="s">
        <v>311</v>
      </c>
      <c r="C168" s="24" t="s">
        <v>313</v>
      </c>
      <c r="D168" s="23" t="s">
        <v>26</v>
      </c>
      <c r="E168" s="13"/>
      <c r="F168" s="14"/>
      <c r="G168" s="14"/>
      <c r="H168" s="14"/>
      <c r="I168" s="14"/>
      <c r="J168" s="14"/>
      <c r="K168" s="14"/>
      <c r="L168" s="10"/>
      <c r="M168" s="14"/>
      <c r="N168" s="25">
        <v>52.05</v>
      </c>
      <c r="O168" s="14">
        <f t="shared" si="38"/>
        <v>52.05</v>
      </c>
      <c r="P168" s="12"/>
      <c r="Q168" s="12"/>
      <c r="R168" s="12"/>
      <c r="S168" s="22">
        <f t="shared" si="39"/>
        <v>0</v>
      </c>
      <c r="T168" s="22">
        <f t="shared" si="40"/>
        <v>0</v>
      </c>
    </row>
    <row r="169" ht="24" spans="1:20">
      <c r="A169" s="10">
        <v>55</v>
      </c>
      <c r="B169" s="24" t="s">
        <v>314</v>
      </c>
      <c r="C169" s="24" t="s">
        <v>315</v>
      </c>
      <c r="D169" s="25" t="s">
        <v>234</v>
      </c>
      <c r="E169" s="13"/>
      <c r="F169" s="14"/>
      <c r="G169" s="14"/>
      <c r="H169" s="14"/>
      <c r="I169" s="14"/>
      <c r="J169" s="14"/>
      <c r="K169" s="14"/>
      <c r="L169" s="10"/>
      <c r="M169" s="14"/>
      <c r="N169" s="25">
        <f>13.89+57.03</f>
        <v>70.92</v>
      </c>
      <c r="O169" s="14">
        <f t="shared" si="38"/>
        <v>70.92</v>
      </c>
      <c r="P169" s="12"/>
      <c r="Q169" s="12"/>
      <c r="R169" s="12"/>
      <c r="S169" s="22">
        <f t="shared" si="39"/>
        <v>0</v>
      </c>
      <c r="T169" s="22">
        <f t="shared" si="40"/>
        <v>0</v>
      </c>
    </row>
    <row r="170" ht="24" spans="1:20">
      <c r="A170" s="10">
        <v>56</v>
      </c>
      <c r="B170" s="24" t="s">
        <v>314</v>
      </c>
      <c r="C170" s="24" t="s">
        <v>316</v>
      </c>
      <c r="D170" s="23" t="s">
        <v>234</v>
      </c>
      <c r="E170" s="13"/>
      <c r="F170" s="14"/>
      <c r="G170" s="14"/>
      <c r="H170" s="14"/>
      <c r="I170" s="14"/>
      <c r="J170" s="14"/>
      <c r="K170" s="14"/>
      <c r="L170" s="10"/>
      <c r="M170" s="14"/>
      <c r="N170" s="25">
        <v>1.45</v>
      </c>
      <c r="O170" s="14">
        <f t="shared" si="38"/>
        <v>1.45</v>
      </c>
      <c r="P170" s="12"/>
      <c r="Q170" s="12"/>
      <c r="R170" s="12"/>
      <c r="S170" s="22">
        <f t="shared" si="39"/>
        <v>0</v>
      </c>
      <c r="T170" s="22">
        <f t="shared" si="40"/>
        <v>0</v>
      </c>
    </row>
    <row r="171" spans="1:20">
      <c r="A171" s="10">
        <v>57</v>
      </c>
      <c r="B171" s="24" t="s">
        <v>314</v>
      </c>
      <c r="C171" s="24" t="s">
        <v>317</v>
      </c>
      <c r="D171" s="25" t="s">
        <v>26</v>
      </c>
      <c r="E171" s="13"/>
      <c r="F171" s="14"/>
      <c r="G171" s="14"/>
      <c r="H171" s="14"/>
      <c r="I171" s="14"/>
      <c r="J171" s="14"/>
      <c r="K171" s="14"/>
      <c r="L171" s="10"/>
      <c r="M171" s="14"/>
      <c r="N171" s="25">
        <f>69.44+475.27+11.6</f>
        <v>556.31</v>
      </c>
      <c r="O171" s="14">
        <f t="shared" si="38"/>
        <v>556.31</v>
      </c>
      <c r="P171" s="12"/>
      <c r="Q171" s="12"/>
      <c r="R171" s="12"/>
      <c r="S171" s="22">
        <f t="shared" si="39"/>
        <v>0</v>
      </c>
      <c r="T171" s="22">
        <f t="shared" si="40"/>
        <v>0</v>
      </c>
    </row>
    <row r="172" ht="24" spans="1:20">
      <c r="A172" s="10">
        <v>58</v>
      </c>
      <c r="B172" s="24" t="s">
        <v>294</v>
      </c>
      <c r="C172" s="24" t="s">
        <v>318</v>
      </c>
      <c r="D172" s="23" t="s">
        <v>296</v>
      </c>
      <c r="E172" s="13"/>
      <c r="F172" s="14"/>
      <c r="G172" s="14"/>
      <c r="H172" s="14"/>
      <c r="I172" s="14"/>
      <c r="J172" s="14"/>
      <c r="K172" s="14"/>
      <c r="L172" s="10"/>
      <c r="M172" s="14"/>
      <c r="N172" s="25">
        <f>0.56+13.76+0.21</f>
        <v>14.53</v>
      </c>
      <c r="O172" s="14">
        <f t="shared" si="38"/>
        <v>14.53</v>
      </c>
      <c r="P172" s="12"/>
      <c r="Q172" s="12"/>
      <c r="R172" s="12"/>
      <c r="S172" s="22">
        <f t="shared" si="39"/>
        <v>0</v>
      </c>
      <c r="T172" s="22">
        <f t="shared" si="40"/>
        <v>0</v>
      </c>
    </row>
    <row r="173" ht="72" spans="1:20">
      <c r="A173" s="10">
        <v>59</v>
      </c>
      <c r="B173" s="24" t="s">
        <v>319</v>
      </c>
      <c r="C173" s="24" t="s">
        <v>320</v>
      </c>
      <c r="D173" s="49" t="s">
        <v>119</v>
      </c>
      <c r="E173" s="13"/>
      <c r="F173" s="14"/>
      <c r="G173" s="14"/>
      <c r="H173" s="14"/>
      <c r="I173" s="14"/>
      <c r="J173" s="14"/>
      <c r="K173" s="14"/>
      <c r="L173" s="10"/>
      <c r="M173" s="14"/>
      <c r="N173" s="25">
        <v>85.6</v>
      </c>
      <c r="O173" s="14">
        <f t="shared" si="38"/>
        <v>85.6</v>
      </c>
      <c r="P173" s="12"/>
      <c r="Q173" s="12"/>
      <c r="R173" s="12"/>
      <c r="S173" s="22">
        <f t="shared" si="39"/>
        <v>0</v>
      </c>
      <c r="T173" s="22">
        <f t="shared" si="40"/>
        <v>0</v>
      </c>
    </row>
    <row r="174" ht="60" spans="1:20">
      <c r="A174" s="10">
        <v>60</v>
      </c>
      <c r="B174" s="24" t="s">
        <v>321</v>
      </c>
      <c r="C174" s="24" t="s">
        <v>322</v>
      </c>
      <c r="D174" s="49" t="s">
        <v>119</v>
      </c>
      <c r="E174" s="13"/>
      <c r="F174" s="14"/>
      <c r="G174" s="14"/>
      <c r="H174" s="14"/>
      <c r="I174" s="14"/>
      <c r="J174" s="14"/>
      <c r="K174" s="14"/>
      <c r="L174" s="10"/>
      <c r="M174" s="14"/>
      <c r="N174" s="25">
        <v>49.6</v>
      </c>
      <c r="O174" s="14">
        <f t="shared" si="38"/>
        <v>49.6</v>
      </c>
      <c r="P174" s="12"/>
      <c r="Q174" s="12"/>
      <c r="R174" s="12"/>
      <c r="S174" s="22">
        <f t="shared" si="39"/>
        <v>0</v>
      </c>
      <c r="T174" s="22">
        <f t="shared" si="40"/>
        <v>0</v>
      </c>
    </row>
    <row r="175" ht="24" spans="1:20">
      <c r="A175" s="10">
        <v>61</v>
      </c>
      <c r="B175" s="24" t="s">
        <v>323</v>
      </c>
      <c r="C175" s="24" t="s">
        <v>324</v>
      </c>
      <c r="D175" s="25" t="s">
        <v>234</v>
      </c>
      <c r="E175" s="13"/>
      <c r="F175" s="14"/>
      <c r="G175" s="14"/>
      <c r="H175" s="14"/>
      <c r="I175" s="14"/>
      <c r="J175" s="14"/>
      <c r="K175" s="14"/>
      <c r="L175" s="10"/>
      <c r="M175" s="14"/>
      <c r="N175" s="25">
        <v>158.71</v>
      </c>
      <c r="O175" s="14">
        <f t="shared" si="38"/>
        <v>158.71</v>
      </c>
      <c r="P175" s="12"/>
      <c r="Q175" s="12"/>
      <c r="R175" s="12"/>
      <c r="S175" s="22">
        <f t="shared" si="39"/>
        <v>0</v>
      </c>
      <c r="T175" s="22">
        <f t="shared" si="40"/>
        <v>0</v>
      </c>
    </row>
    <row r="176" spans="1:20">
      <c r="A176" s="10">
        <v>62</v>
      </c>
      <c r="B176" s="24" t="s">
        <v>323</v>
      </c>
      <c r="C176" s="24" t="s">
        <v>325</v>
      </c>
      <c r="D176" s="25" t="s">
        <v>26</v>
      </c>
      <c r="E176" s="13"/>
      <c r="F176" s="14"/>
      <c r="G176" s="14"/>
      <c r="H176" s="14"/>
      <c r="I176" s="14"/>
      <c r="J176" s="14"/>
      <c r="K176" s="14"/>
      <c r="L176" s="10"/>
      <c r="M176" s="14"/>
      <c r="N176" s="25">
        <v>1266.99</v>
      </c>
      <c r="O176" s="14">
        <f t="shared" si="38"/>
        <v>1266.99</v>
      </c>
      <c r="P176" s="12"/>
      <c r="Q176" s="12"/>
      <c r="R176" s="12"/>
      <c r="S176" s="22">
        <f t="shared" si="39"/>
        <v>0</v>
      </c>
      <c r="T176" s="22">
        <f t="shared" si="40"/>
        <v>0</v>
      </c>
    </row>
    <row r="177" ht="24" spans="1:20">
      <c r="A177" s="10">
        <v>63</v>
      </c>
      <c r="B177" s="24" t="s">
        <v>326</v>
      </c>
      <c r="C177" s="24" t="s">
        <v>327</v>
      </c>
      <c r="D177" s="25" t="s">
        <v>234</v>
      </c>
      <c r="E177" s="13"/>
      <c r="F177" s="14"/>
      <c r="G177" s="14"/>
      <c r="H177" s="14"/>
      <c r="I177" s="14"/>
      <c r="J177" s="14"/>
      <c r="K177" s="14"/>
      <c r="L177" s="10"/>
      <c r="M177" s="14"/>
      <c r="N177" s="25">
        <v>30.55</v>
      </c>
      <c r="O177" s="14">
        <f t="shared" si="38"/>
        <v>30.55</v>
      </c>
      <c r="P177" s="12"/>
      <c r="Q177" s="12"/>
      <c r="R177" s="12"/>
      <c r="S177" s="22">
        <f t="shared" si="39"/>
        <v>0</v>
      </c>
      <c r="T177" s="22">
        <f t="shared" si="40"/>
        <v>0</v>
      </c>
    </row>
    <row r="178" spans="1:20">
      <c r="A178" s="10">
        <v>64</v>
      </c>
      <c r="B178" s="24" t="s">
        <v>326</v>
      </c>
      <c r="C178" s="24" t="s">
        <v>328</v>
      </c>
      <c r="D178" s="25" t="s">
        <v>26</v>
      </c>
      <c r="E178" s="13"/>
      <c r="F178" s="14"/>
      <c r="G178" s="14"/>
      <c r="H178" s="14"/>
      <c r="I178" s="14"/>
      <c r="J178" s="14"/>
      <c r="K178" s="14"/>
      <c r="L178" s="10"/>
      <c r="M178" s="14"/>
      <c r="N178" s="25">
        <v>258.5</v>
      </c>
      <c r="O178" s="14">
        <f t="shared" si="38"/>
        <v>258.5</v>
      </c>
      <c r="P178" s="12"/>
      <c r="Q178" s="12"/>
      <c r="R178" s="12"/>
      <c r="S178" s="22">
        <f t="shared" si="39"/>
        <v>0</v>
      </c>
      <c r="T178" s="22">
        <f t="shared" si="40"/>
        <v>0</v>
      </c>
    </row>
    <row r="179" spans="1:20">
      <c r="A179" s="10">
        <v>65</v>
      </c>
      <c r="B179" s="24" t="s">
        <v>329</v>
      </c>
      <c r="C179" s="24" t="s">
        <v>330</v>
      </c>
      <c r="D179" s="35" t="s">
        <v>234</v>
      </c>
      <c r="E179" s="13"/>
      <c r="F179" s="14"/>
      <c r="G179" s="14"/>
      <c r="H179" s="14"/>
      <c r="I179" s="14"/>
      <c r="J179" s="14"/>
      <c r="K179" s="14"/>
      <c r="L179" s="10"/>
      <c r="M179" s="14"/>
      <c r="N179" s="25">
        <f>42.3+42.45+12.6+1.47</f>
        <v>98.82</v>
      </c>
      <c r="O179" s="14">
        <f t="shared" si="38"/>
        <v>98.82</v>
      </c>
      <c r="P179" s="12"/>
      <c r="Q179" s="12"/>
      <c r="R179" s="12"/>
      <c r="S179" s="22">
        <f t="shared" si="39"/>
        <v>0</v>
      </c>
      <c r="T179" s="22">
        <f t="shared" si="40"/>
        <v>0</v>
      </c>
    </row>
    <row r="180" spans="1:20">
      <c r="A180" s="10">
        <v>66</v>
      </c>
      <c r="B180" s="24" t="s">
        <v>331</v>
      </c>
      <c r="C180" s="24" t="s">
        <v>332</v>
      </c>
      <c r="D180" s="25" t="s">
        <v>26</v>
      </c>
      <c r="E180" s="13"/>
      <c r="F180" s="14"/>
      <c r="G180" s="14"/>
      <c r="H180" s="14"/>
      <c r="I180" s="14"/>
      <c r="J180" s="14"/>
      <c r="K180" s="14"/>
      <c r="L180" s="10"/>
      <c r="M180" s="14"/>
      <c r="N180" s="25">
        <v>235</v>
      </c>
      <c r="O180" s="14">
        <f t="shared" si="38"/>
        <v>235</v>
      </c>
      <c r="P180" s="12"/>
      <c r="Q180" s="12"/>
      <c r="R180" s="12"/>
      <c r="S180" s="22">
        <f t="shared" ref="S180:S205" si="41">P180+Q180+R180</f>
        <v>0</v>
      </c>
      <c r="T180" s="22">
        <f t="shared" ref="T180:T205" si="42">O180*S180</f>
        <v>0</v>
      </c>
    </row>
    <row r="181" spans="1:20">
      <c r="A181" s="10">
        <v>67</v>
      </c>
      <c r="B181" s="24" t="s">
        <v>333</v>
      </c>
      <c r="C181" s="24" t="s">
        <v>334</v>
      </c>
      <c r="D181" s="23" t="s">
        <v>119</v>
      </c>
      <c r="E181" s="13"/>
      <c r="F181" s="14"/>
      <c r="G181" s="14"/>
      <c r="H181" s="14"/>
      <c r="I181" s="14"/>
      <c r="J181" s="14"/>
      <c r="K181" s="14"/>
      <c r="L181" s="10"/>
      <c r="M181" s="14"/>
      <c r="N181" s="25">
        <v>921.2</v>
      </c>
      <c r="O181" s="14">
        <f t="shared" si="38"/>
        <v>921.2</v>
      </c>
      <c r="P181" s="12"/>
      <c r="Q181" s="12"/>
      <c r="R181" s="12"/>
      <c r="S181" s="22">
        <f t="shared" si="41"/>
        <v>0</v>
      </c>
      <c r="T181" s="22">
        <f t="shared" si="42"/>
        <v>0</v>
      </c>
    </row>
    <row r="182" spans="1:20">
      <c r="A182" s="10">
        <v>68</v>
      </c>
      <c r="B182" s="24" t="s">
        <v>335</v>
      </c>
      <c r="C182" s="24" t="s">
        <v>336</v>
      </c>
      <c r="D182" s="25" t="s">
        <v>26</v>
      </c>
      <c r="E182" s="13"/>
      <c r="F182" s="14"/>
      <c r="G182" s="14"/>
      <c r="H182" s="14"/>
      <c r="I182" s="14"/>
      <c r="J182" s="14"/>
      <c r="K182" s="14"/>
      <c r="L182" s="10"/>
      <c r="M182" s="14"/>
      <c r="N182" s="25">
        <v>1154.82</v>
      </c>
      <c r="O182" s="14">
        <f t="shared" si="38"/>
        <v>1154.82</v>
      </c>
      <c r="P182" s="12"/>
      <c r="Q182" s="12"/>
      <c r="R182" s="12"/>
      <c r="S182" s="22">
        <f t="shared" si="41"/>
        <v>0</v>
      </c>
      <c r="T182" s="22">
        <f t="shared" si="42"/>
        <v>0</v>
      </c>
    </row>
    <row r="183" spans="1:20">
      <c r="A183" s="10">
        <v>69</v>
      </c>
      <c r="B183" s="24" t="s">
        <v>337</v>
      </c>
      <c r="C183" s="24" t="s">
        <v>338</v>
      </c>
      <c r="D183" s="23" t="s">
        <v>119</v>
      </c>
      <c r="E183" s="13"/>
      <c r="F183" s="14"/>
      <c r="G183" s="14"/>
      <c r="H183" s="14"/>
      <c r="I183" s="14"/>
      <c r="J183" s="14"/>
      <c r="K183" s="14"/>
      <c r="L183" s="10"/>
      <c r="M183" s="14"/>
      <c r="N183" s="35">
        <v>25</v>
      </c>
      <c r="O183" s="14">
        <f t="shared" si="38"/>
        <v>25</v>
      </c>
      <c r="P183" s="12"/>
      <c r="Q183" s="12"/>
      <c r="R183" s="12"/>
      <c r="S183" s="22">
        <f t="shared" si="41"/>
        <v>0</v>
      </c>
      <c r="T183" s="22">
        <f t="shared" si="42"/>
        <v>0</v>
      </c>
    </row>
    <row r="184" spans="1:20">
      <c r="A184" s="10">
        <v>70</v>
      </c>
      <c r="B184" s="24" t="s">
        <v>339</v>
      </c>
      <c r="C184" s="24" t="s">
        <v>340</v>
      </c>
      <c r="D184" s="25" t="s">
        <v>26</v>
      </c>
      <c r="E184" s="13"/>
      <c r="F184" s="14"/>
      <c r="G184" s="14"/>
      <c r="H184" s="14"/>
      <c r="I184" s="14"/>
      <c r="J184" s="14"/>
      <c r="K184" s="14"/>
      <c r="L184" s="10"/>
      <c r="M184" s="14"/>
      <c r="N184" s="25">
        <v>235</v>
      </c>
      <c r="O184" s="14">
        <f t="shared" si="38"/>
        <v>235</v>
      </c>
      <c r="P184" s="12"/>
      <c r="Q184" s="12"/>
      <c r="R184" s="12"/>
      <c r="S184" s="22">
        <f t="shared" si="41"/>
        <v>0</v>
      </c>
      <c r="T184" s="22">
        <f t="shared" si="42"/>
        <v>0</v>
      </c>
    </row>
    <row r="185" spans="1:20">
      <c r="A185" s="10">
        <v>71</v>
      </c>
      <c r="B185" s="24" t="s">
        <v>339</v>
      </c>
      <c r="C185" s="24" t="s">
        <v>341</v>
      </c>
      <c r="D185" s="25" t="s">
        <v>26</v>
      </c>
      <c r="E185" s="13"/>
      <c r="F185" s="14"/>
      <c r="G185" s="14"/>
      <c r="H185" s="14"/>
      <c r="I185" s="14"/>
      <c r="J185" s="14"/>
      <c r="K185" s="14"/>
      <c r="L185" s="10"/>
      <c r="M185" s="14"/>
      <c r="N185" s="25">
        <v>1154.82</v>
      </c>
      <c r="O185" s="14">
        <f t="shared" si="38"/>
        <v>1154.82</v>
      </c>
      <c r="P185" s="12"/>
      <c r="Q185" s="12"/>
      <c r="R185" s="12"/>
      <c r="S185" s="22">
        <f t="shared" si="41"/>
        <v>0</v>
      </c>
      <c r="T185" s="22">
        <f t="shared" si="42"/>
        <v>0</v>
      </c>
    </row>
    <row r="186" ht="24" spans="1:20">
      <c r="A186" s="10">
        <v>72</v>
      </c>
      <c r="B186" s="24" t="s">
        <v>339</v>
      </c>
      <c r="C186" s="24" t="s">
        <v>342</v>
      </c>
      <c r="D186" s="25" t="s">
        <v>26</v>
      </c>
      <c r="E186" s="13"/>
      <c r="F186" s="14"/>
      <c r="G186" s="14"/>
      <c r="H186" s="14"/>
      <c r="I186" s="14"/>
      <c r="J186" s="14"/>
      <c r="K186" s="14"/>
      <c r="L186" s="10"/>
      <c r="M186" s="14"/>
      <c r="N186" s="25">
        <v>70.5</v>
      </c>
      <c r="O186" s="14">
        <f t="shared" si="38"/>
        <v>70.5</v>
      </c>
      <c r="P186" s="12"/>
      <c r="Q186" s="12"/>
      <c r="R186" s="12"/>
      <c r="S186" s="22">
        <f t="shared" si="41"/>
        <v>0</v>
      </c>
      <c r="T186" s="22">
        <f t="shared" si="42"/>
        <v>0</v>
      </c>
    </row>
    <row r="187" ht="48" spans="1:20">
      <c r="A187" s="10">
        <v>73</v>
      </c>
      <c r="B187" s="24" t="s">
        <v>237</v>
      </c>
      <c r="C187" s="24" t="s">
        <v>343</v>
      </c>
      <c r="D187" s="25" t="s">
        <v>234</v>
      </c>
      <c r="E187" s="13"/>
      <c r="F187" s="14"/>
      <c r="G187" s="14"/>
      <c r="H187" s="14"/>
      <c r="I187" s="14"/>
      <c r="J187" s="14"/>
      <c r="K187" s="14"/>
      <c r="L187" s="10"/>
      <c r="M187" s="14"/>
      <c r="N187" s="25">
        <v>600.15</v>
      </c>
      <c r="O187" s="14">
        <f t="shared" si="38"/>
        <v>600.15</v>
      </c>
      <c r="P187" s="12"/>
      <c r="Q187" s="12"/>
      <c r="R187" s="12"/>
      <c r="S187" s="22">
        <f t="shared" si="41"/>
        <v>0</v>
      </c>
      <c r="T187" s="22">
        <f t="shared" si="42"/>
        <v>0</v>
      </c>
    </row>
    <row r="188" spans="1:20">
      <c r="A188" s="10">
        <v>74</v>
      </c>
      <c r="B188" s="24" t="s">
        <v>344</v>
      </c>
      <c r="C188" s="24" t="s">
        <v>345</v>
      </c>
      <c r="D188" s="25" t="s">
        <v>26</v>
      </c>
      <c r="E188" s="13"/>
      <c r="F188" s="14"/>
      <c r="G188" s="14"/>
      <c r="H188" s="14"/>
      <c r="I188" s="14"/>
      <c r="J188" s="14"/>
      <c r="K188" s="14"/>
      <c r="L188" s="10"/>
      <c r="M188" s="14"/>
      <c r="N188" s="25">
        <v>8893</v>
      </c>
      <c r="O188" s="14">
        <f t="shared" si="38"/>
        <v>8893</v>
      </c>
      <c r="P188" s="12"/>
      <c r="Q188" s="12"/>
      <c r="R188" s="12"/>
      <c r="S188" s="22">
        <f t="shared" si="41"/>
        <v>0</v>
      </c>
      <c r="T188" s="22">
        <f t="shared" si="42"/>
        <v>0</v>
      </c>
    </row>
    <row r="189" spans="1:20">
      <c r="A189" s="10">
        <v>75</v>
      </c>
      <c r="B189" s="24" t="s">
        <v>237</v>
      </c>
      <c r="C189" s="24" t="s">
        <v>346</v>
      </c>
      <c r="D189" s="25" t="s">
        <v>234</v>
      </c>
      <c r="E189" s="13"/>
      <c r="F189" s="14"/>
      <c r="G189" s="14"/>
      <c r="H189" s="14"/>
      <c r="I189" s="14"/>
      <c r="J189" s="14"/>
      <c r="K189" s="14"/>
      <c r="L189" s="10"/>
      <c r="M189" s="14"/>
      <c r="N189" s="25">
        <v>244.6</v>
      </c>
      <c r="O189" s="14">
        <f t="shared" si="38"/>
        <v>244.6</v>
      </c>
      <c r="P189" s="12"/>
      <c r="Q189" s="12"/>
      <c r="R189" s="12"/>
      <c r="S189" s="22">
        <f t="shared" si="41"/>
        <v>0</v>
      </c>
      <c r="T189" s="22">
        <f t="shared" si="42"/>
        <v>0</v>
      </c>
    </row>
    <row r="190" ht="24" spans="1:20">
      <c r="A190" s="10">
        <v>76</v>
      </c>
      <c r="B190" s="24" t="s">
        <v>237</v>
      </c>
      <c r="C190" s="24" t="s">
        <v>347</v>
      </c>
      <c r="D190" s="25" t="s">
        <v>234</v>
      </c>
      <c r="E190" s="13"/>
      <c r="F190" s="14"/>
      <c r="G190" s="14"/>
      <c r="H190" s="14"/>
      <c r="I190" s="14"/>
      <c r="J190" s="14"/>
      <c r="K190" s="14"/>
      <c r="L190" s="10"/>
      <c r="M190" s="14"/>
      <c r="N190" s="25">
        <v>7.6</v>
      </c>
      <c r="O190" s="14">
        <f t="shared" si="38"/>
        <v>7.6</v>
      </c>
      <c r="P190" s="12"/>
      <c r="Q190" s="12"/>
      <c r="R190" s="12"/>
      <c r="S190" s="22">
        <f t="shared" si="41"/>
        <v>0</v>
      </c>
      <c r="T190" s="22">
        <f t="shared" si="42"/>
        <v>0</v>
      </c>
    </row>
    <row r="191" ht="96" spans="1:20">
      <c r="A191" s="10">
        <v>77</v>
      </c>
      <c r="B191" s="24" t="s">
        <v>348</v>
      </c>
      <c r="C191" s="24" t="s">
        <v>349</v>
      </c>
      <c r="D191" s="25" t="s">
        <v>26</v>
      </c>
      <c r="E191" s="13"/>
      <c r="F191" s="14"/>
      <c r="G191" s="14"/>
      <c r="H191" s="14"/>
      <c r="I191" s="14"/>
      <c r="J191" s="14"/>
      <c r="K191" s="14"/>
      <c r="L191" s="10"/>
      <c r="M191" s="14"/>
      <c r="N191" s="25">
        <v>40.65</v>
      </c>
      <c r="O191" s="14">
        <f t="shared" ref="O191:O205" si="43">SUM(E191:N191)</f>
        <v>40.65</v>
      </c>
      <c r="P191" s="12"/>
      <c r="Q191" s="12"/>
      <c r="R191" s="12"/>
      <c r="S191" s="22">
        <f t="shared" si="41"/>
        <v>0</v>
      </c>
      <c r="T191" s="22">
        <f t="shared" si="42"/>
        <v>0</v>
      </c>
    </row>
    <row r="192" ht="36" spans="1:20">
      <c r="A192" s="10">
        <v>78</v>
      </c>
      <c r="B192" s="24" t="s">
        <v>350</v>
      </c>
      <c r="C192" s="24" t="s">
        <v>351</v>
      </c>
      <c r="D192" s="25" t="s">
        <v>26</v>
      </c>
      <c r="E192" s="13"/>
      <c r="F192" s="14"/>
      <c r="G192" s="14"/>
      <c r="H192" s="14"/>
      <c r="I192" s="14"/>
      <c r="J192" s="14"/>
      <c r="K192" s="14"/>
      <c r="L192" s="10"/>
      <c r="M192" s="14"/>
      <c r="N192" s="35">
        <v>26.8</v>
      </c>
      <c r="O192" s="14">
        <f t="shared" si="43"/>
        <v>26.8</v>
      </c>
      <c r="P192" s="12"/>
      <c r="Q192" s="12"/>
      <c r="R192" s="12"/>
      <c r="S192" s="22">
        <f t="shared" si="41"/>
        <v>0</v>
      </c>
      <c r="T192" s="22">
        <f t="shared" si="42"/>
        <v>0</v>
      </c>
    </row>
    <row r="193" ht="36" spans="1:20">
      <c r="A193" s="10">
        <v>79</v>
      </c>
      <c r="B193" s="24" t="s">
        <v>311</v>
      </c>
      <c r="C193" s="24" t="s">
        <v>352</v>
      </c>
      <c r="D193" s="23" t="s">
        <v>26</v>
      </c>
      <c r="E193" s="13"/>
      <c r="F193" s="14"/>
      <c r="G193" s="14"/>
      <c r="H193" s="14"/>
      <c r="I193" s="14"/>
      <c r="J193" s="14"/>
      <c r="K193" s="14"/>
      <c r="L193" s="10"/>
      <c r="M193" s="14"/>
      <c r="N193" s="25">
        <v>4.8</v>
      </c>
      <c r="O193" s="14">
        <f t="shared" si="43"/>
        <v>4.8</v>
      </c>
      <c r="P193" s="12"/>
      <c r="Q193" s="12"/>
      <c r="R193" s="12"/>
      <c r="S193" s="22">
        <f t="shared" si="41"/>
        <v>0</v>
      </c>
      <c r="T193" s="22">
        <f t="shared" si="42"/>
        <v>0</v>
      </c>
    </row>
    <row r="194" ht="36" spans="1:20">
      <c r="A194" s="10">
        <v>80</v>
      </c>
      <c r="B194" s="24" t="s">
        <v>311</v>
      </c>
      <c r="C194" s="24" t="s">
        <v>353</v>
      </c>
      <c r="D194" s="23" t="s">
        <v>26</v>
      </c>
      <c r="E194" s="13"/>
      <c r="F194" s="14"/>
      <c r="G194" s="14"/>
      <c r="H194" s="14"/>
      <c r="I194" s="14"/>
      <c r="J194" s="14"/>
      <c r="K194" s="14"/>
      <c r="L194" s="10"/>
      <c r="M194" s="14"/>
      <c r="N194" s="25">
        <v>4.8</v>
      </c>
      <c r="O194" s="14">
        <f t="shared" si="43"/>
        <v>4.8</v>
      </c>
      <c r="P194" s="12"/>
      <c r="Q194" s="12"/>
      <c r="R194" s="12"/>
      <c r="S194" s="22">
        <f t="shared" si="41"/>
        <v>0</v>
      </c>
      <c r="T194" s="22">
        <f t="shared" si="42"/>
        <v>0</v>
      </c>
    </row>
    <row r="195" ht="36" spans="1:20">
      <c r="A195" s="10">
        <v>81</v>
      </c>
      <c r="B195" s="24" t="s">
        <v>311</v>
      </c>
      <c r="C195" s="24" t="s">
        <v>354</v>
      </c>
      <c r="D195" s="23" t="s">
        <v>26</v>
      </c>
      <c r="E195" s="13"/>
      <c r="F195" s="14"/>
      <c r="G195" s="14"/>
      <c r="H195" s="14"/>
      <c r="I195" s="14"/>
      <c r="J195" s="14"/>
      <c r="K195" s="14"/>
      <c r="L195" s="10"/>
      <c r="M195" s="14"/>
      <c r="N195" s="25">
        <v>2.7</v>
      </c>
      <c r="O195" s="14">
        <f t="shared" si="43"/>
        <v>2.7</v>
      </c>
      <c r="P195" s="12"/>
      <c r="Q195" s="12"/>
      <c r="R195" s="12"/>
      <c r="S195" s="22">
        <f t="shared" si="41"/>
        <v>0</v>
      </c>
      <c r="T195" s="22">
        <f t="shared" si="42"/>
        <v>0</v>
      </c>
    </row>
    <row r="196" ht="36" spans="1:20">
      <c r="A196" s="10">
        <v>82</v>
      </c>
      <c r="B196" s="24" t="s">
        <v>311</v>
      </c>
      <c r="C196" s="24" t="s">
        <v>355</v>
      </c>
      <c r="D196" s="23" t="s">
        <v>26</v>
      </c>
      <c r="E196" s="13"/>
      <c r="F196" s="14"/>
      <c r="G196" s="14"/>
      <c r="H196" s="14"/>
      <c r="I196" s="14"/>
      <c r="J196" s="14"/>
      <c r="K196" s="14"/>
      <c r="L196" s="10"/>
      <c r="M196" s="14"/>
      <c r="N196" s="25">
        <v>5.4</v>
      </c>
      <c r="O196" s="14">
        <f t="shared" si="43"/>
        <v>5.4</v>
      </c>
      <c r="P196" s="12"/>
      <c r="Q196" s="12"/>
      <c r="R196" s="12"/>
      <c r="S196" s="22">
        <f t="shared" si="41"/>
        <v>0</v>
      </c>
      <c r="T196" s="22">
        <f t="shared" si="42"/>
        <v>0</v>
      </c>
    </row>
    <row r="197" ht="36" spans="1:20">
      <c r="A197" s="10">
        <v>83</v>
      </c>
      <c r="B197" s="24" t="s">
        <v>311</v>
      </c>
      <c r="C197" s="24" t="s">
        <v>356</v>
      </c>
      <c r="D197" s="23" t="s">
        <v>26</v>
      </c>
      <c r="E197" s="13"/>
      <c r="F197" s="14"/>
      <c r="G197" s="14"/>
      <c r="H197" s="14"/>
      <c r="I197" s="14"/>
      <c r="J197" s="14"/>
      <c r="K197" s="14"/>
      <c r="L197" s="10"/>
      <c r="M197" s="14"/>
      <c r="N197" s="25">
        <v>16</v>
      </c>
      <c r="O197" s="14">
        <f t="shared" si="43"/>
        <v>16</v>
      </c>
      <c r="P197" s="12"/>
      <c r="Q197" s="12"/>
      <c r="R197" s="12"/>
      <c r="S197" s="22">
        <f t="shared" si="41"/>
        <v>0</v>
      </c>
      <c r="T197" s="22">
        <f t="shared" si="42"/>
        <v>0</v>
      </c>
    </row>
    <row r="198" ht="36" spans="1:20">
      <c r="A198" s="10">
        <v>84</v>
      </c>
      <c r="B198" s="24" t="s">
        <v>311</v>
      </c>
      <c r="C198" s="24" t="s">
        <v>357</v>
      </c>
      <c r="D198" s="23" t="s">
        <v>26</v>
      </c>
      <c r="E198" s="13"/>
      <c r="F198" s="14"/>
      <c r="G198" s="14"/>
      <c r="H198" s="14"/>
      <c r="I198" s="14"/>
      <c r="J198" s="14"/>
      <c r="K198" s="14"/>
      <c r="L198" s="10"/>
      <c r="M198" s="14"/>
      <c r="N198" s="25">
        <v>16</v>
      </c>
      <c r="O198" s="14">
        <f t="shared" si="43"/>
        <v>16</v>
      </c>
      <c r="P198" s="12"/>
      <c r="Q198" s="12"/>
      <c r="R198" s="12"/>
      <c r="S198" s="22">
        <f t="shared" si="41"/>
        <v>0</v>
      </c>
      <c r="T198" s="22">
        <f t="shared" si="42"/>
        <v>0</v>
      </c>
    </row>
    <row r="199" ht="36" spans="1:20">
      <c r="A199" s="10">
        <v>85</v>
      </c>
      <c r="B199" s="24" t="s">
        <v>311</v>
      </c>
      <c r="C199" s="24" t="s">
        <v>358</v>
      </c>
      <c r="D199" s="23" t="s">
        <v>26</v>
      </c>
      <c r="E199" s="13"/>
      <c r="F199" s="14"/>
      <c r="G199" s="14"/>
      <c r="H199" s="14"/>
      <c r="I199" s="14"/>
      <c r="J199" s="14"/>
      <c r="K199" s="14"/>
      <c r="L199" s="10"/>
      <c r="M199" s="14"/>
      <c r="N199" s="25">
        <v>2.4</v>
      </c>
      <c r="O199" s="14">
        <f t="shared" si="43"/>
        <v>2.4</v>
      </c>
      <c r="P199" s="12"/>
      <c r="Q199" s="12"/>
      <c r="R199" s="12"/>
      <c r="S199" s="22">
        <f t="shared" si="41"/>
        <v>0</v>
      </c>
      <c r="T199" s="22">
        <f t="shared" si="42"/>
        <v>0</v>
      </c>
    </row>
    <row r="200" ht="36" spans="1:20">
      <c r="A200" s="10">
        <v>86</v>
      </c>
      <c r="B200" s="24" t="s">
        <v>311</v>
      </c>
      <c r="C200" s="24" t="s">
        <v>359</v>
      </c>
      <c r="D200" s="23" t="s">
        <v>26</v>
      </c>
      <c r="E200" s="13"/>
      <c r="F200" s="14"/>
      <c r="G200" s="14"/>
      <c r="H200" s="14"/>
      <c r="I200" s="14"/>
      <c r="J200" s="14"/>
      <c r="K200" s="14"/>
      <c r="L200" s="10"/>
      <c r="M200" s="14"/>
      <c r="N200" s="25">
        <v>2.4</v>
      </c>
      <c r="O200" s="14">
        <f t="shared" si="43"/>
        <v>2.4</v>
      </c>
      <c r="P200" s="12"/>
      <c r="Q200" s="12"/>
      <c r="R200" s="12"/>
      <c r="S200" s="22">
        <f t="shared" si="41"/>
        <v>0</v>
      </c>
      <c r="T200" s="22">
        <f t="shared" si="42"/>
        <v>0</v>
      </c>
    </row>
    <row r="201" ht="24" spans="1:20">
      <c r="A201" s="10">
        <v>87</v>
      </c>
      <c r="B201" s="24" t="s">
        <v>360</v>
      </c>
      <c r="C201" s="24" t="s">
        <v>361</v>
      </c>
      <c r="D201" s="23" t="s">
        <v>26</v>
      </c>
      <c r="E201" s="13"/>
      <c r="F201" s="14"/>
      <c r="G201" s="14"/>
      <c r="H201" s="14"/>
      <c r="I201" s="14"/>
      <c r="J201" s="14"/>
      <c r="K201" s="14"/>
      <c r="L201" s="10"/>
      <c r="M201" s="14"/>
      <c r="N201" s="25">
        <v>12.51</v>
      </c>
      <c r="O201" s="14">
        <f t="shared" si="43"/>
        <v>12.51</v>
      </c>
      <c r="P201" s="12"/>
      <c r="Q201" s="12"/>
      <c r="R201" s="12"/>
      <c r="S201" s="22">
        <f t="shared" si="41"/>
        <v>0</v>
      </c>
      <c r="T201" s="22">
        <f t="shared" si="42"/>
        <v>0</v>
      </c>
    </row>
    <row r="202" ht="24" spans="1:20">
      <c r="A202" s="10">
        <v>88</v>
      </c>
      <c r="B202" s="24" t="s">
        <v>360</v>
      </c>
      <c r="C202" s="24" t="s">
        <v>362</v>
      </c>
      <c r="D202" s="23" t="s">
        <v>26</v>
      </c>
      <c r="E202" s="13"/>
      <c r="F202" s="14"/>
      <c r="G202" s="14"/>
      <c r="H202" s="14"/>
      <c r="I202" s="14"/>
      <c r="J202" s="14"/>
      <c r="K202" s="14"/>
      <c r="L202" s="10"/>
      <c r="M202" s="14"/>
      <c r="N202" s="25">
        <v>23.72</v>
      </c>
      <c r="O202" s="14">
        <f t="shared" si="43"/>
        <v>23.72</v>
      </c>
      <c r="P202" s="12"/>
      <c r="Q202" s="12"/>
      <c r="R202" s="12"/>
      <c r="S202" s="22">
        <f t="shared" si="41"/>
        <v>0</v>
      </c>
      <c r="T202" s="22">
        <f t="shared" si="42"/>
        <v>0</v>
      </c>
    </row>
    <row r="203" ht="24" spans="1:20">
      <c r="A203" s="10">
        <v>89</v>
      </c>
      <c r="B203" s="24" t="s">
        <v>363</v>
      </c>
      <c r="C203" s="24" t="s">
        <v>364</v>
      </c>
      <c r="D203" s="23" t="s">
        <v>26</v>
      </c>
      <c r="E203" s="13"/>
      <c r="F203" s="14"/>
      <c r="G203" s="14"/>
      <c r="H203" s="14"/>
      <c r="I203" s="14"/>
      <c r="J203" s="14"/>
      <c r="K203" s="14"/>
      <c r="L203" s="10"/>
      <c r="M203" s="14"/>
      <c r="N203" s="25">
        <v>83.36</v>
      </c>
      <c r="O203" s="14">
        <f t="shared" si="43"/>
        <v>83.36</v>
      </c>
      <c r="P203" s="12"/>
      <c r="Q203" s="12"/>
      <c r="R203" s="12"/>
      <c r="S203" s="22">
        <f t="shared" si="41"/>
        <v>0</v>
      </c>
      <c r="T203" s="22">
        <f t="shared" si="42"/>
        <v>0</v>
      </c>
    </row>
    <row r="204" ht="24" spans="1:20">
      <c r="A204" s="10">
        <v>90</v>
      </c>
      <c r="B204" s="24" t="s">
        <v>365</v>
      </c>
      <c r="C204" s="24" t="s">
        <v>366</v>
      </c>
      <c r="D204" s="25" t="s">
        <v>26</v>
      </c>
      <c r="E204" s="13"/>
      <c r="F204" s="14"/>
      <c r="G204" s="14"/>
      <c r="H204" s="14"/>
      <c r="I204" s="14"/>
      <c r="J204" s="14"/>
      <c r="K204" s="14"/>
      <c r="L204" s="10"/>
      <c r="M204" s="14"/>
      <c r="N204" s="25">
        <v>5.84</v>
      </c>
      <c r="O204" s="14">
        <f t="shared" si="43"/>
        <v>5.84</v>
      </c>
      <c r="P204" s="12"/>
      <c r="Q204" s="12"/>
      <c r="R204" s="12"/>
      <c r="S204" s="22">
        <f t="shared" si="41"/>
        <v>0</v>
      </c>
      <c r="T204" s="22">
        <f t="shared" si="42"/>
        <v>0</v>
      </c>
    </row>
    <row r="205" ht="24" spans="1:20">
      <c r="A205" s="10">
        <v>91</v>
      </c>
      <c r="B205" s="24" t="s">
        <v>360</v>
      </c>
      <c r="C205" s="24" t="s">
        <v>367</v>
      </c>
      <c r="D205" s="23" t="s">
        <v>26</v>
      </c>
      <c r="E205" s="13"/>
      <c r="F205" s="14"/>
      <c r="G205" s="14"/>
      <c r="H205" s="14"/>
      <c r="I205" s="14"/>
      <c r="J205" s="14"/>
      <c r="K205" s="14"/>
      <c r="L205" s="10"/>
      <c r="M205" s="14"/>
      <c r="N205" s="25">
        <v>58.46</v>
      </c>
      <c r="O205" s="14">
        <f t="shared" si="43"/>
        <v>58.46</v>
      </c>
      <c r="P205" s="12"/>
      <c r="Q205" s="12"/>
      <c r="R205" s="12"/>
      <c r="S205" s="22">
        <f t="shared" si="41"/>
        <v>0</v>
      </c>
      <c r="T205" s="22">
        <f t="shared" si="42"/>
        <v>0</v>
      </c>
    </row>
    <row r="206" ht="24" spans="1:20">
      <c r="A206" s="10">
        <v>92</v>
      </c>
      <c r="B206" s="24" t="s">
        <v>363</v>
      </c>
      <c r="C206" s="24" t="s">
        <v>368</v>
      </c>
      <c r="D206" s="23" t="s">
        <v>26</v>
      </c>
      <c r="E206" s="13"/>
      <c r="F206" s="14"/>
      <c r="G206" s="14"/>
      <c r="H206" s="14"/>
      <c r="I206" s="14"/>
      <c r="J206" s="14"/>
      <c r="K206" s="14"/>
      <c r="L206" s="10"/>
      <c r="M206" s="14"/>
      <c r="N206" s="25">
        <v>155.9</v>
      </c>
      <c r="O206" s="14">
        <f t="shared" ref="O206:O215" si="44">SUM(E206:N206)</f>
        <v>155.9</v>
      </c>
      <c r="P206" s="12"/>
      <c r="Q206" s="12"/>
      <c r="R206" s="12"/>
      <c r="S206" s="22">
        <f t="shared" ref="S206:S215" si="45">P206+Q206+R206</f>
        <v>0</v>
      </c>
      <c r="T206" s="22">
        <f t="shared" ref="T206:T215" si="46">O206*S206</f>
        <v>0</v>
      </c>
    </row>
    <row r="207" ht="36" spans="1:20">
      <c r="A207" s="10">
        <v>93</v>
      </c>
      <c r="B207" s="24" t="s">
        <v>369</v>
      </c>
      <c r="C207" s="24" t="s">
        <v>370</v>
      </c>
      <c r="D207" s="25" t="s">
        <v>26</v>
      </c>
      <c r="E207" s="13"/>
      <c r="F207" s="14"/>
      <c r="G207" s="14"/>
      <c r="H207" s="14"/>
      <c r="I207" s="14"/>
      <c r="J207" s="14"/>
      <c r="K207" s="14"/>
      <c r="L207" s="10"/>
      <c r="M207" s="14"/>
      <c r="N207" s="25">
        <v>19.01</v>
      </c>
      <c r="O207" s="14">
        <f t="shared" si="44"/>
        <v>19.01</v>
      </c>
      <c r="P207" s="12"/>
      <c r="Q207" s="12"/>
      <c r="R207" s="12"/>
      <c r="S207" s="22">
        <f t="shared" si="45"/>
        <v>0</v>
      </c>
      <c r="T207" s="22">
        <f t="shared" si="46"/>
        <v>0</v>
      </c>
    </row>
    <row r="208" ht="24" spans="1:20">
      <c r="A208" s="10">
        <v>94</v>
      </c>
      <c r="B208" s="24" t="s">
        <v>371</v>
      </c>
      <c r="C208" s="24" t="s">
        <v>372</v>
      </c>
      <c r="D208" s="23" t="s">
        <v>234</v>
      </c>
      <c r="E208" s="13"/>
      <c r="F208" s="14"/>
      <c r="G208" s="14"/>
      <c r="H208" s="14"/>
      <c r="I208" s="14"/>
      <c r="J208" s="14"/>
      <c r="K208" s="14"/>
      <c r="L208" s="10"/>
      <c r="M208" s="14"/>
      <c r="N208" s="25">
        <v>11.88</v>
      </c>
      <c r="O208" s="14">
        <f t="shared" si="44"/>
        <v>11.88</v>
      </c>
      <c r="P208" s="12"/>
      <c r="Q208" s="12"/>
      <c r="R208" s="12"/>
      <c r="S208" s="22">
        <f t="shared" si="45"/>
        <v>0</v>
      </c>
      <c r="T208" s="22">
        <f t="shared" si="46"/>
        <v>0</v>
      </c>
    </row>
    <row r="209" spans="1:20">
      <c r="A209" s="10">
        <v>95</v>
      </c>
      <c r="B209" s="24" t="s">
        <v>292</v>
      </c>
      <c r="C209" s="24" t="s">
        <v>373</v>
      </c>
      <c r="D209" s="25" t="s">
        <v>26</v>
      </c>
      <c r="E209" s="13"/>
      <c r="F209" s="14"/>
      <c r="G209" s="14"/>
      <c r="H209" s="14"/>
      <c r="I209" s="14"/>
      <c r="J209" s="14"/>
      <c r="K209" s="14"/>
      <c r="L209" s="10"/>
      <c r="M209" s="14"/>
      <c r="N209" s="25">
        <v>19.46</v>
      </c>
      <c r="O209" s="14">
        <f t="shared" si="44"/>
        <v>19.46</v>
      </c>
      <c r="P209" s="12"/>
      <c r="Q209" s="12"/>
      <c r="R209" s="12"/>
      <c r="S209" s="22">
        <f t="shared" si="45"/>
        <v>0</v>
      </c>
      <c r="T209" s="22">
        <f t="shared" si="46"/>
        <v>0</v>
      </c>
    </row>
    <row r="210" ht="24" spans="1:20">
      <c r="A210" s="10">
        <v>96</v>
      </c>
      <c r="B210" s="24" t="s">
        <v>374</v>
      </c>
      <c r="C210" s="24" t="s">
        <v>375</v>
      </c>
      <c r="D210" s="23" t="s">
        <v>234</v>
      </c>
      <c r="E210" s="13"/>
      <c r="F210" s="14"/>
      <c r="G210" s="14"/>
      <c r="H210" s="14"/>
      <c r="I210" s="14"/>
      <c r="J210" s="14"/>
      <c r="K210" s="14"/>
      <c r="L210" s="10"/>
      <c r="M210" s="14"/>
      <c r="N210" s="25">
        <v>1.5</v>
      </c>
      <c r="O210" s="14">
        <f t="shared" si="44"/>
        <v>1.5</v>
      </c>
      <c r="P210" s="12"/>
      <c r="Q210" s="12"/>
      <c r="R210" s="12"/>
      <c r="S210" s="22">
        <f t="shared" si="45"/>
        <v>0</v>
      </c>
      <c r="T210" s="22">
        <f t="shared" si="46"/>
        <v>0</v>
      </c>
    </row>
    <row r="211" ht="24" spans="1:20">
      <c r="A211" s="10">
        <v>97</v>
      </c>
      <c r="B211" s="24" t="s">
        <v>374</v>
      </c>
      <c r="C211" s="24" t="s">
        <v>376</v>
      </c>
      <c r="D211" s="25" t="s">
        <v>234</v>
      </c>
      <c r="E211" s="13"/>
      <c r="F211" s="14"/>
      <c r="G211" s="14"/>
      <c r="H211" s="14"/>
      <c r="I211" s="14"/>
      <c r="J211" s="14"/>
      <c r="K211" s="14"/>
      <c r="L211" s="10"/>
      <c r="M211" s="14"/>
      <c r="N211" s="25">
        <v>0.8</v>
      </c>
      <c r="O211" s="14">
        <f t="shared" si="44"/>
        <v>0.8</v>
      </c>
      <c r="P211" s="12"/>
      <c r="Q211" s="12"/>
      <c r="R211" s="12"/>
      <c r="S211" s="22">
        <f t="shared" si="45"/>
        <v>0</v>
      </c>
      <c r="T211" s="22">
        <f t="shared" si="46"/>
        <v>0</v>
      </c>
    </row>
    <row r="212" ht="24" spans="1:20">
      <c r="A212" s="10">
        <v>98</v>
      </c>
      <c r="B212" s="24" t="s">
        <v>292</v>
      </c>
      <c r="C212" s="24" t="s">
        <v>377</v>
      </c>
      <c r="D212" s="25" t="s">
        <v>26</v>
      </c>
      <c r="E212" s="13"/>
      <c r="F212" s="14"/>
      <c r="G212" s="14"/>
      <c r="H212" s="14"/>
      <c r="I212" s="14"/>
      <c r="J212" s="14"/>
      <c r="K212" s="14"/>
      <c r="L212" s="10"/>
      <c r="M212" s="14"/>
      <c r="N212" s="25">
        <f>6.99+3.43</f>
        <v>10.42</v>
      </c>
      <c r="O212" s="14">
        <f t="shared" si="44"/>
        <v>10.42</v>
      </c>
      <c r="P212" s="12"/>
      <c r="Q212" s="12"/>
      <c r="R212" s="12"/>
      <c r="S212" s="22">
        <f t="shared" si="45"/>
        <v>0</v>
      </c>
      <c r="T212" s="22">
        <f t="shared" si="46"/>
        <v>0</v>
      </c>
    </row>
    <row r="213" spans="1:20">
      <c r="A213" s="10">
        <v>99</v>
      </c>
      <c r="B213" s="24" t="s">
        <v>311</v>
      </c>
      <c r="C213" s="24" t="s">
        <v>378</v>
      </c>
      <c r="D213" s="23" t="s">
        <v>26</v>
      </c>
      <c r="E213" s="13"/>
      <c r="F213" s="14"/>
      <c r="G213" s="14"/>
      <c r="H213" s="14"/>
      <c r="I213" s="14"/>
      <c r="J213" s="14"/>
      <c r="K213" s="14"/>
      <c r="L213" s="10"/>
      <c r="M213" s="14"/>
      <c r="N213" s="25">
        <v>6</v>
      </c>
      <c r="O213" s="14">
        <f t="shared" si="44"/>
        <v>6</v>
      </c>
      <c r="P213" s="12"/>
      <c r="Q213" s="12"/>
      <c r="R213" s="12"/>
      <c r="S213" s="22">
        <f t="shared" si="45"/>
        <v>0</v>
      </c>
      <c r="T213" s="22">
        <f t="shared" si="46"/>
        <v>0</v>
      </c>
    </row>
    <row r="214" spans="1:20">
      <c r="A214" s="10">
        <v>100</v>
      </c>
      <c r="B214" s="24" t="s">
        <v>311</v>
      </c>
      <c r="C214" s="24" t="s">
        <v>379</v>
      </c>
      <c r="D214" s="23" t="s">
        <v>26</v>
      </c>
      <c r="E214" s="13"/>
      <c r="F214" s="14"/>
      <c r="G214" s="14"/>
      <c r="H214" s="14"/>
      <c r="I214" s="14"/>
      <c r="J214" s="14"/>
      <c r="K214" s="14"/>
      <c r="L214" s="10"/>
      <c r="M214" s="14"/>
      <c r="N214" s="25">
        <v>4.56</v>
      </c>
      <c r="O214" s="14">
        <f t="shared" si="44"/>
        <v>4.56</v>
      </c>
      <c r="P214" s="12"/>
      <c r="Q214" s="12"/>
      <c r="R214" s="12"/>
      <c r="S214" s="22">
        <f t="shared" si="45"/>
        <v>0</v>
      </c>
      <c r="T214" s="22">
        <f t="shared" si="46"/>
        <v>0</v>
      </c>
    </row>
    <row r="215" spans="1:20">
      <c r="A215" s="10">
        <v>101</v>
      </c>
      <c r="B215" s="24" t="s">
        <v>311</v>
      </c>
      <c r="C215" s="24" t="s">
        <v>380</v>
      </c>
      <c r="D215" s="23" t="s">
        <v>26</v>
      </c>
      <c r="E215" s="13"/>
      <c r="F215" s="14"/>
      <c r="G215" s="14"/>
      <c r="H215" s="14"/>
      <c r="I215" s="14"/>
      <c r="J215" s="14"/>
      <c r="K215" s="14"/>
      <c r="L215" s="10"/>
      <c r="M215" s="14"/>
      <c r="N215" s="25">
        <v>3.86</v>
      </c>
      <c r="O215" s="14">
        <f t="shared" si="44"/>
        <v>3.86</v>
      </c>
      <c r="P215" s="12"/>
      <c r="Q215" s="12"/>
      <c r="R215" s="12"/>
      <c r="S215" s="22">
        <f t="shared" si="45"/>
        <v>0</v>
      </c>
      <c r="T215" s="22">
        <f t="shared" si="46"/>
        <v>0</v>
      </c>
    </row>
    <row r="216" ht="24" spans="1:20">
      <c r="A216" s="10">
        <v>102</v>
      </c>
      <c r="B216" s="24" t="s">
        <v>381</v>
      </c>
      <c r="C216" s="24" t="s">
        <v>382</v>
      </c>
      <c r="D216" s="49" t="s">
        <v>383</v>
      </c>
      <c r="E216" s="13"/>
      <c r="F216" s="14"/>
      <c r="G216" s="14"/>
      <c r="H216" s="14"/>
      <c r="I216" s="14"/>
      <c r="J216" s="14"/>
      <c r="K216" s="14"/>
      <c r="L216" s="10"/>
      <c r="M216" s="14"/>
      <c r="N216" s="25">
        <v>1</v>
      </c>
      <c r="O216" s="14">
        <f t="shared" ref="O216:O238" si="47">SUM(E216:N216)</f>
        <v>1</v>
      </c>
      <c r="P216" s="12"/>
      <c r="Q216" s="12"/>
      <c r="R216" s="12"/>
      <c r="S216" s="22">
        <f t="shared" ref="S216:S238" si="48">P216+Q216+R216</f>
        <v>0</v>
      </c>
      <c r="T216" s="22">
        <f t="shared" ref="T216:T231" si="49">O216*S216</f>
        <v>0</v>
      </c>
    </row>
    <row r="217" ht="24" spans="1:20">
      <c r="A217" s="10">
        <v>103</v>
      </c>
      <c r="B217" s="24" t="s">
        <v>381</v>
      </c>
      <c r="C217" s="24" t="s">
        <v>384</v>
      </c>
      <c r="D217" s="49" t="s">
        <v>383</v>
      </c>
      <c r="E217" s="13"/>
      <c r="F217" s="14"/>
      <c r="G217" s="14"/>
      <c r="H217" s="14"/>
      <c r="I217" s="14"/>
      <c r="J217" s="14"/>
      <c r="K217" s="14"/>
      <c r="L217" s="10"/>
      <c r="M217" s="14"/>
      <c r="N217" s="25">
        <v>2</v>
      </c>
      <c r="O217" s="14">
        <f t="shared" si="47"/>
        <v>2</v>
      </c>
      <c r="P217" s="12"/>
      <c r="Q217" s="12"/>
      <c r="R217" s="12"/>
      <c r="S217" s="22">
        <f t="shared" si="48"/>
        <v>0</v>
      </c>
      <c r="T217" s="22">
        <f t="shared" si="49"/>
        <v>0</v>
      </c>
    </row>
    <row r="218" ht="24" spans="1:20">
      <c r="A218" s="10">
        <v>104</v>
      </c>
      <c r="B218" s="24" t="s">
        <v>385</v>
      </c>
      <c r="C218" s="24" t="s">
        <v>386</v>
      </c>
      <c r="D218" s="25" t="s">
        <v>26</v>
      </c>
      <c r="E218" s="13"/>
      <c r="F218" s="14"/>
      <c r="G218" s="14"/>
      <c r="H218" s="14"/>
      <c r="I218" s="14"/>
      <c r="J218" s="14"/>
      <c r="K218" s="14"/>
      <c r="L218" s="10"/>
      <c r="M218" s="14"/>
      <c r="N218" s="25">
        <v>16.56</v>
      </c>
      <c r="O218" s="14">
        <f t="shared" si="47"/>
        <v>16.56</v>
      </c>
      <c r="P218" s="12"/>
      <c r="Q218" s="12"/>
      <c r="R218" s="12"/>
      <c r="S218" s="22">
        <f t="shared" si="48"/>
        <v>0</v>
      </c>
      <c r="T218" s="22">
        <f t="shared" si="49"/>
        <v>0</v>
      </c>
    </row>
    <row r="219" ht="24" spans="1:20">
      <c r="A219" s="10">
        <v>105</v>
      </c>
      <c r="B219" s="24" t="s">
        <v>248</v>
      </c>
      <c r="C219" s="24" t="s">
        <v>387</v>
      </c>
      <c r="D219" s="23" t="s">
        <v>119</v>
      </c>
      <c r="E219" s="13"/>
      <c r="F219" s="14"/>
      <c r="G219" s="14"/>
      <c r="H219" s="14"/>
      <c r="I219" s="14"/>
      <c r="J219" s="14"/>
      <c r="K219" s="14"/>
      <c r="L219" s="10"/>
      <c r="M219" s="14"/>
      <c r="N219" s="25">
        <v>25</v>
      </c>
      <c r="O219" s="14">
        <f t="shared" si="47"/>
        <v>25</v>
      </c>
      <c r="P219" s="12"/>
      <c r="Q219" s="12"/>
      <c r="R219" s="12"/>
      <c r="S219" s="22">
        <f t="shared" si="48"/>
        <v>0</v>
      </c>
      <c r="T219" s="22">
        <f t="shared" si="49"/>
        <v>0</v>
      </c>
    </row>
    <row r="220" ht="24" spans="1:20">
      <c r="A220" s="10">
        <v>106</v>
      </c>
      <c r="B220" s="24" t="s">
        <v>248</v>
      </c>
      <c r="C220" s="24" t="s">
        <v>388</v>
      </c>
      <c r="D220" s="23" t="s">
        <v>119</v>
      </c>
      <c r="E220" s="13"/>
      <c r="F220" s="14"/>
      <c r="G220" s="14"/>
      <c r="H220" s="14"/>
      <c r="I220" s="14"/>
      <c r="J220" s="14"/>
      <c r="K220" s="14"/>
      <c r="L220" s="10"/>
      <c r="M220" s="14"/>
      <c r="N220" s="25">
        <v>25</v>
      </c>
      <c r="O220" s="14">
        <f t="shared" si="47"/>
        <v>25</v>
      </c>
      <c r="P220" s="12"/>
      <c r="Q220" s="12"/>
      <c r="R220" s="12"/>
      <c r="S220" s="22">
        <f t="shared" si="48"/>
        <v>0</v>
      </c>
      <c r="T220" s="22">
        <f t="shared" si="49"/>
        <v>0</v>
      </c>
    </row>
    <row r="221" ht="24" spans="1:20">
      <c r="A221" s="10">
        <v>107</v>
      </c>
      <c r="B221" s="24" t="s">
        <v>248</v>
      </c>
      <c r="C221" s="24" t="s">
        <v>389</v>
      </c>
      <c r="D221" s="23" t="s">
        <v>119</v>
      </c>
      <c r="E221" s="13"/>
      <c r="F221" s="14"/>
      <c r="G221" s="14"/>
      <c r="H221" s="14"/>
      <c r="I221" s="14"/>
      <c r="J221" s="14"/>
      <c r="K221" s="14"/>
      <c r="L221" s="10"/>
      <c r="M221" s="14"/>
      <c r="N221" s="25">
        <v>25</v>
      </c>
      <c r="O221" s="14">
        <f t="shared" si="47"/>
        <v>25</v>
      </c>
      <c r="P221" s="12"/>
      <c r="Q221" s="12"/>
      <c r="R221" s="12"/>
      <c r="S221" s="22">
        <f t="shared" si="48"/>
        <v>0</v>
      </c>
      <c r="T221" s="22">
        <f t="shared" si="49"/>
        <v>0</v>
      </c>
    </row>
    <row r="222" ht="24" spans="1:20">
      <c r="A222" s="10">
        <v>108</v>
      </c>
      <c r="B222" s="24" t="s">
        <v>248</v>
      </c>
      <c r="C222" s="24" t="s">
        <v>390</v>
      </c>
      <c r="D222" s="23" t="s">
        <v>119</v>
      </c>
      <c r="E222" s="13"/>
      <c r="F222" s="14"/>
      <c r="G222" s="14"/>
      <c r="H222" s="14"/>
      <c r="I222" s="14"/>
      <c r="J222" s="14"/>
      <c r="K222" s="14"/>
      <c r="L222" s="10"/>
      <c r="M222" s="14"/>
      <c r="N222" s="25">
        <v>25</v>
      </c>
      <c r="O222" s="14">
        <f t="shared" si="47"/>
        <v>25</v>
      </c>
      <c r="P222" s="12"/>
      <c r="Q222" s="12"/>
      <c r="R222" s="12"/>
      <c r="S222" s="22">
        <f t="shared" si="48"/>
        <v>0</v>
      </c>
      <c r="T222" s="22">
        <f t="shared" si="49"/>
        <v>0</v>
      </c>
    </row>
    <row r="223" ht="24" spans="1:20">
      <c r="A223" s="10">
        <v>109</v>
      </c>
      <c r="B223" s="24" t="s">
        <v>391</v>
      </c>
      <c r="C223" s="24" t="s">
        <v>392</v>
      </c>
      <c r="D223" s="23" t="s">
        <v>26</v>
      </c>
      <c r="E223" s="13"/>
      <c r="F223" s="14"/>
      <c r="G223" s="14"/>
      <c r="H223" s="14"/>
      <c r="I223" s="14"/>
      <c r="J223" s="14"/>
      <c r="K223" s="14"/>
      <c r="L223" s="10"/>
      <c r="M223" s="14"/>
      <c r="N223" s="25">
        <v>50</v>
      </c>
      <c r="O223" s="14">
        <f t="shared" si="47"/>
        <v>50</v>
      </c>
      <c r="P223" s="12"/>
      <c r="Q223" s="12"/>
      <c r="R223" s="12"/>
      <c r="S223" s="22">
        <f t="shared" si="48"/>
        <v>0</v>
      </c>
      <c r="T223" s="22">
        <f t="shared" si="49"/>
        <v>0</v>
      </c>
    </row>
    <row r="224" ht="24" spans="1:20">
      <c r="A224" s="10">
        <v>110</v>
      </c>
      <c r="B224" s="24" t="s">
        <v>391</v>
      </c>
      <c r="C224" s="24" t="s">
        <v>393</v>
      </c>
      <c r="D224" s="23" t="s">
        <v>26</v>
      </c>
      <c r="E224" s="13"/>
      <c r="F224" s="14"/>
      <c r="G224" s="14"/>
      <c r="H224" s="14"/>
      <c r="I224" s="14"/>
      <c r="J224" s="14"/>
      <c r="K224" s="14"/>
      <c r="L224" s="10"/>
      <c r="M224" s="14"/>
      <c r="N224" s="25">
        <v>50</v>
      </c>
      <c r="O224" s="14">
        <f t="shared" si="47"/>
        <v>50</v>
      </c>
      <c r="P224" s="12"/>
      <c r="Q224" s="12"/>
      <c r="R224" s="12"/>
      <c r="S224" s="22">
        <f t="shared" si="48"/>
        <v>0</v>
      </c>
      <c r="T224" s="22">
        <f t="shared" si="49"/>
        <v>0</v>
      </c>
    </row>
    <row r="225" ht="24" spans="1:20">
      <c r="A225" s="10">
        <v>111</v>
      </c>
      <c r="B225" s="24" t="s">
        <v>391</v>
      </c>
      <c r="C225" s="24" t="s">
        <v>394</v>
      </c>
      <c r="D225" s="23" t="s">
        <v>26</v>
      </c>
      <c r="E225" s="13"/>
      <c r="F225" s="14"/>
      <c r="G225" s="14"/>
      <c r="H225" s="14"/>
      <c r="I225" s="14"/>
      <c r="J225" s="14"/>
      <c r="K225" s="14"/>
      <c r="L225" s="10"/>
      <c r="M225" s="14"/>
      <c r="N225" s="25">
        <v>20</v>
      </c>
      <c r="O225" s="14">
        <f t="shared" si="47"/>
        <v>20</v>
      </c>
      <c r="P225" s="12"/>
      <c r="Q225" s="12"/>
      <c r="R225" s="12"/>
      <c r="S225" s="22">
        <f t="shared" si="48"/>
        <v>0</v>
      </c>
      <c r="T225" s="22">
        <f t="shared" si="49"/>
        <v>0</v>
      </c>
    </row>
    <row r="226" ht="24" spans="1:20">
      <c r="A226" s="10">
        <v>112</v>
      </c>
      <c r="B226" s="24" t="s">
        <v>391</v>
      </c>
      <c r="C226" s="24" t="s">
        <v>395</v>
      </c>
      <c r="D226" s="23" t="s">
        <v>26</v>
      </c>
      <c r="E226" s="13"/>
      <c r="F226" s="14"/>
      <c r="G226" s="14"/>
      <c r="H226" s="14"/>
      <c r="I226" s="14"/>
      <c r="J226" s="14"/>
      <c r="K226" s="14"/>
      <c r="L226" s="10"/>
      <c r="M226" s="14"/>
      <c r="N226" s="25">
        <v>20</v>
      </c>
      <c r="O226" s="14">
        <f t="shared" si="47"/>
        <v>20</v>
      </c>
      <c r="P226" s="12"/>
      <c r="Q226" s="12"/>
      <c r="R226" s="12"/>
      <c r="S226" s="22">
        <f t="shared" si="48"/>
        <v>0</v>
      </c>
      <c r="T226" s="22">
        <f t="shared" si="49"/>
        <v>0</v>
      </c>
    </row>
    <row r="227" spans="1:20">
      <c r="A227" s="10">
        <v>113</v>
      </c>
      <c r="B227" s="24" t="s">
        <v>213</v>
      </c>
      <c r="C227" s="24" t="s">
        <v>396</v>
      </c>
      <c r="D227" s="23" t="s">
        <v>26</v>
      </c>
      <c r="E227" s="13"/>
      <c r="F227" s="14"/>
      <c r="G227" s="14"/>
      <c r="H227" s="14"/>
      <c r="I227" s="14"/>
      <c r="J227" s="14"/>
      <c r="K227" s="14"/>
      <c r="L227" s="10"/>
      <c r="M227" s="14"/>
      <c r="N227" s="25">
        <v>533.94</v>
      </c>
      <c r="O227" s="14">
        <f t="shared" si="47"/>
        <v>533.94</v>
      </c>
      <c r="P227" s="12"/>
      <c r="Q227" s="12"/>
      <c r="R227" s="12"/>
      <c r="S227" s="22">
        <f t="shared" si="48"/>
        <v>0</v>
      </c>
      <c r="T227" s="22">
        <f t="shared" si="49"/>
        <v>0</v>
      </c>
    </row>
    <row r="228" spans="1:20">
      <c r="A228" s="10">
        <v>114</v>
      </c>
      <c r="B228" s="24" t="s">
        <v>215</v>
      </c>
      <c r="C228" s="24" t="s">
        <v>397</v>
      </c>
      <c r="D228" s="23" t="s">
        <v>26</v>
      </c>
      <c r="E228" s="13"/>
      <c r="F228" s="14"/>
      <c r="G228" s="14"/>
      <c r="H228" s="14"/>
      <c r="I228" s="14"/>
      <c r="J228" s="14"/>
      <c r="K228" s="14"/>
      <c r="L228" s="10"/>
      <c r="M228" s="14"/>
      <c r="N228" s="25">
        <v>266.97</v>
      </c>
      <c r="O228" s="14">
        <f t="shared" si="47"/>
        <v>266.97</v>
      </c>
      <c r="P228" s="12"/>
      <c r="Q228" s="12"/>
      <c r="R228" s="12"/>
      <c r="S228" s="22">
        <f t="shared" si="48"/>
        <v>0</v>
      </c>
      <c r="T228" s="22">
        <f t="shared" si="49"/>
        <v>0</v>
      </c>
    </row>
    <row r="229" spans="1:20">
      <c r="A229" s="10">
        <v>115</v>
      </c>
      <c r="B229" s="24" t="s">
        <v>311</v>
      </c>
      <c r="C229" s="24" t="s">
        <v>398</v>
      </c>
      <c r="D229" s="23" t="s">
        <v>26</v>
      </c>
      <c r="E229" s="13"/>
      <c r="F229" s="14"/>
      <c r="G229" s="14"/>
      <c r="H229" s="14"/>
      <c r="I229" s="14"/>
      <c r="J229" s="14"/>
      <c r="K229" s="14"/>
      <c r="L229" s="10"/>
      <c r="M229" s="14"/>
      <c r="N229" s="25">
        <v>3.42</v>
      </c>
      <c r="O229" s="14">
        <f t="shared" si="47"/>
        <v>3.42</v>
      </c>
      <c r="P229" s="12"/>
      <c r="Q229" s="12"/>
      <c r="R229" s="12"/>
      <c r="S229" s="22">
        <f t="shared" si="48"/>
        <v>0</v>
      </c>
      <c r="T229" s="22">
        <f t="shared" si="49"/>
        <v>0</v>
      </c>
    </row>
    <row r="230" spans="1:20">
      <c r="A230" s="10">
        <v>116</v>
      </c>
      <c r="B230" s="24" t="s">
        <v>311</v>
      </c>
      <c r="C230" s="24" t="s">
        <v>399</v>
      </c>
      <c r="D230" s="23" t="s">
        <v>26</v>
      </c>
      <c r="E230" s="13"/>
      <c r="F230" s="14"/>
      <c r="G230" s="14"/>
      <c r="H230" s="14"/>
      <c r="I230" s="14"/>
      <c r="J230" s="14"/>
      <c r="K230" s="14"/>
      <c r="L230" s="10"/>
      <c r="M230" s="14"/>
      <c r="N230" s="25">
        <v>6.12</v>
      </c>
      <c r="O230" s="14">
        <f t="shared" si="47"/>
        <v>6.12</v>
      </c>
      <c r="P230" s="12"/>
      <c r="Q230" s="12"/>
      <c r="R230" s="12"/>
      <c r="S230" s="22">
        <f t="shared" si="48"/>
        <v>0</v>
      </c>
      <c r="T230" s="22">
        <f t="shared" si="49"/>
        <v>0</v>
      </c>
    </row>
    <row r="231" ht="60" spans="1:20">
      <c r="A231" s="10">
        <v>117</v>
      </c>
      <c r="B231" s="24" t="s">
        <v>400</v>
      </c>
      <c r="C231" s="24" t="s">
        <v>401</v>
      </c>
      <c r="D231" s="25" t="s">
        <v>26</v>
      </c>
      <c r="E231" s="13"/>
      <c r="F231" s="14"/>
      <c r="G231" s="14"/>
      <c r="H231" s="14"/>
      <c r="I231" s="14"/>
      <c r="J231" s="14"/>
      <c r="K231" s="14"/>
      <c r="L231" s="10"/>
      <c r="M231" s="14"/>
      <c r="N231" s="25">
        <v>648.48</v>
      </c>
      <c r="O231" s="14">
        <f t="shared" si="47"/>
        <v>648.48</v>
      </c>
      <c r="P231" s="12"/>
      <c r="Q231" s="12"/>
      <c r="R231" s="12"/>
      <c r="S231" s="22">
        <f t="shared" si="48"/>
        <v>0</v>
      </c>
      <c r="T231" s="22">
        <f t="shared" si="49"/>
        <v>0</v>
      </c>
    </row>
    <row r="232" ht="29" customHeight="1" spans="1:20">
      <c r="A232" s="10"/>
      <c r="B232" s="11" t="s">
        <v>402</v>
      </c>
      <c r="C232" s="57"/>
      <c r="D232" s="12"/>
      <c r="E232" s="13"/>
      <c r="F232" s="14"/>
      <c r="G232" s="14"/>
      <c r="H232" s="14"/>
      <c r="I232" s="14"/>
      <c r="J232" s="14"/>
      <c r="K232" s="14"/>
      <c r="L232" s="10"/>
      <c r="M232" s="14"/>
      <c r="N232" s="12"/>
      <c r="O232" s="13"/>
      <c r="P232" s="12"/>
      <c r="Q232" s="12"/>
      <c r="R232" s="12"/>
      <c r="S232" s="48"/>
      <c r="T232" s="48"/>
    </row>
  </sheetData>
  <mergeCells count="13">
    <mergeCell ref="A1:T1"/>
    <mergeCell ref="E2:O2"/>
    <mergeCell ref="B4:D4"/>
    <mergeCell ref="B114:D114"/>
    <mergeCell ref="A2:A3"/>
    <mergeCell ref="B2:B3"/>
    <mergeCell ref="C2:C3"/>
    <mergeCell ref="D2:D3"/>
    <mergeCell ref="P2:P3"/>
    <mergeCell ref="Q2:Q3"/>
    <mergeCell ref="R2:R3"/>
    <mergeCell ref="S2:S3"/>
    <mergeCell ref="T2:T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成本分析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似毓若离</cp:lastModifiedBy>
  <dcterms:created xsi:type="dcterms:W3CDTF">2016-12-02T08:54:00Z</dcterms:created>
  <dcterms:modified xsi:type="dcterms:W3CDTF">2026-05-12T01:31:11Z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E3C3AFDD107F4208A81E02227D8C6F25_13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